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Bret Hamilton\Documents\Shelter Analytics\a_Projects\a_NEEP MA TRM\2018\drafts\final\"/>
    </mc:Choice>
  </mc:AlternateContent>
  <xr:revisionPtr revIDLastSave="0" documentId="13_ncr:1_{8178C7C4-D4DE-444D-BF9F-FA992292768D}" xr6:coauthVersionLast="32" xr6:coauthVersionMax="32" xr10:uidLastSave="{00000000-0000-0000-0000-000000000000}"/>
  <bookViews>
    <workbookView xWindow="0" yWindow="0" windowWidth="12780" windowHeight="5655" xr2:uid="{00000000-000D-0000-FFFF-FFFF00000000}"/>
  </bookViews>
  <sheets>
    <sheet name="Studies Summary" sheetId="2" r:id="rId1"/>
    <sheet name="TABLE Redux" sheetId="4" r:id="rId2"/>
    <sheet name="Tables Old" sheetId="3" r:id="rId3"/>
  </sheets>
  <definedNames>
    <definedName name="_xlnm._FilterDatabase" localSheetId="0" hidden="1">'Studies Summary'!$B$1:$J$22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4" l="1"/>
  <c r="C84" i="4"/>
  <c r="C82" i="4"/>
  <c r="C81" i="4"/>
  <c r="C61" i="4"/>
  <c r="C60" i="4"/>
  <c r="C59" i="4"/>
  <c r="C58" i="4"/>
  <c r="C80" i="4"/>
  <c r="C78" i="4"/>
  <c r="C77" i="4"/>
  <c r="C76" i="4"/>
  <c r="C75" i="4"/>
  <c r="C74" i="4"/>
  <c r="C73" i="4"/>
  <c r="C72" i="4"/>
  <c r="C71" i="4"/>
  <c r="C70" i="4"/>
  <c r="C69" i="4"/>
  <c r="C68" i="4"/>
  <c r="C66" i="4"/>
  <c r="C65" i="4"/>
  <c r="C57" i="4"/>
  <c r="C55" i="4"/>
  <c r="C54" i="4"/>
  <c r="C53" i="4"/>
  <c r="C51" i="4"/>
  <c r="C50" i="4"/>
  <c r="C49" i="4"/>
  <c r="C48" i="4"/>
  <c r="C47" i="4"/>
  <c r="C46" i="4"/>
  <c r="C45" i="4"/>
  <c r="C43" i="4"/>
  <c r="C42" i="4"/>
  <c r="C37" i="4"/>
  <c r="C36" i="4"/>
  <c r="C35" i="4"/>
  <c r="C34" i="4"/>
  <c r="C33" i="4"/>
  <c r="C32" i="4"/>
  <c r="C31" i="4"/>
  <c r="C30" i="4"/>
  <c r="C29" i="4"/>
  <c r="C28" i="4"/>
  <c r="C27" i="4"/>
  <c r="C26" i="4"/>
  <c r="C25" i="4"/>
  <c r="C23" i="4"/>
  <c r="C22" i="4"/>
  <c r="C18" i="4"/>
  <c r="C16" i="4"/>
  <c r="C15" i="4"/>
  <c r="C14" i="4"/>
  <c r="C12" i="4"/>
  <c r="C11" i="4"/>
  <c r="C10" i="4"/>
  <c r="C8" i="4"/>
  <c r="C7" i="4"/>
  <c r="C6" i="4"/>
  <c r="C4" i="4"/>
  <c r="C3" i="4"/>
  <c r="F84" i="4"/>
  <c r="E84" i="4"/>
  <c r="D84" i="4"/>
  <c r="F82" i="4"/>
  <c r="E82" i="4"/>
  <c r="D82" i="4"/>
  <c r="F81" i="4"/>
  <c r="E81" i="4"/>
  <c r="D81" i="4"/>
  <c r="F61" i="4"/>
  <c r="E61" i="4"/>
  <c r="D61" i="4"/>
  <c r="F60" i="4"/>
  <c r="E60" i="4"/>
  <c r="D60" i="4"/>
  <c r="F59" i="4"/>
  <c r="E59" i="4"/>
  <c r="D59" i="4"/>
  <c r="F58" i="4"/>
  <c r="E58" i="4"/>
  <c r="D58" i="4"/>
  <c r="F80" i="4"/>
  <c r="E80" i="4"/>
  <c r="D80" i="4"/>
  <c r="F78" i="4"/>
  <c r="E78" i="4"/>
  <c r="D78" i="4"/>
  <c r="F77" i="4"/>
  <c r="E77" i="4"/>
  <c r="D77" i="4"/>
  <c r="F76" i="4"/>
  <c r="E76" i="4"/>
  <c r="D76" i="4"/>
  <c r="F75" i="4"/>
  <c r="E75" i="4"/>
  <c r="D75" i="4"/>
  <c r="F74" i="4"/>
  <c r="E74" i="4"/>
  <c r="D74" i="4"/>
  <c r="F73" i="4"/>
  <c r="E73" i="4"/>
  <c r="D73" i="4"/>
  <c r="F72" i="4"/>
  <c r="E72" i="4"/>
  <c r="D72" i="4"/>
  <c r="F71" i="4"/>
  <c r="E71" i="4"/>
  <c r="D71" i="4"/>
  <c r="F70" i="4"/>
  <c r="E70" i="4"/>
  <c r="D70" i="4"/>
  <c r="F69" i="4"/>
  <c r="E69" i="4"/>
  <c r="D69" i="4"/>
  <c r="F68" i="4"/>
  <c r="E68" i="4"/>
  <c r="D68" i="4"/>
  <c r="F66" i="4"/>
  <c r="E66" i="4"/>
  <c r="D66" i="4"/>
  <c r="F65" i="4"/>
  <c r="E65" i="4"/>
  <c r="D65" i="4"/>
  <c r="F57" i="4"/>
  <c r="E57" i="4"/>
  <c r="D57" i="4"/>
  <c r="F55" i="4"/>
  <c r="E55" i="4"/>
  <c r="D55" i="4"/>
  <c r="F54" i="4"/>
  <c r="E54" i="4"/>
  <c r="D54" i="4"/>
  <c r="F53" i="4"/>
  <c r="E53" i="4"/>
  <c r="D53" i="4"/>
  <c r="F51" i="4"/>
  <c r="E51" i="4"/>
  <c r="D51" i="4"/>
  <c r="F50" i="4"/>
  <c r="E50" i="4"/>
  <c r="D50" i="4"/>
  <c r="F49" i="4"/>
  <c r="E49" i="4"/>
  <c r="D49" i="4"/>
  <c r="F48" i="4"/>
  <c r="E48" i="4"/>
  <c r="D48" i="4"/>
  <c r="F47" i="4"/>
  <c r="E47" i="4"/>
  <c r="D47" i="4"/>
  <c r="F46" i="4"/>
  <c r="E46" i="4"/>
  <c r="D46" i="4"/>
  <c r="F45" i="4"/>
  <c r="E45" i="4"/>
  <c r="D45" i="4"/>
  <c r="F43" i="4"/>
  <c r="E43" i="4"/>
  <c r="D43" i="4"/>
  <c r="F42" i="4"/>
  <c r="E42" i="4"/>
  <c r="D42" i="4"/>
  <c r="F37" i="4"/>
  <c r="E37" i="4"/>
  <c r="D37" i="4"/>
  <c r="F36" i="4"/>
  <c r="E36" i="4"/>
  <c r="D36" i="4"/>
  <c r="F35" i="4"/>
  <c r="E35" i="4"/>
  <c r="D35" i="4"/>
  <c r="F34" i="4"/>
  <c r="E34" i="4"/>
  <c r="D34" i="4"/>
  <c r="F33" i="4"/>
  <c r="E33" i="4"/>
  <c r="D33" i="4"/>
  <c r="F32" i="4"/>
  <c r="E32" i="4"/>
  <c r="D32" i="4"/>
  <c r="F31" i="4"/>
  <c r="E31" i="4"/>
  <c r="D31" i="4"/>
  <c r="F30" i="4"/>
  <c r="E30" i="4"/>
  <c r="D30" i="4"/>
  <c r="F29" i="4"/>
  <c r="E29" i="4"/>
  <c r="D29" i="4"/>
  <c r="F28" i="4"/>
  <c r="E28" i="4"/>
  <c r="D28" i="4"/>
  <c r="F27" i="4"/>
  <c r="E27" i="4"/>
  <c r="D27" i="4"/>
  <c r="F26" i="4"/>
  <c r="E26" i="4"/>
  <c r="D26" i="4"/>
  <c r="F25" i="4"/>
  <c r="E25" i="4"/>
  <c r="D25" i="4"/>
  <c r="F23" i="4"/>
  <c r="E23" i="4"/>
  <c r="D23" i="4"/>
  <c r="F22" i="4"/>
  <c r="E22" i="4"/>
  <c r="D22" i="4"/>
  <c r="F18" i="4"/>
  <c r="E18" i="4"/>
  <c r="F16" i="4"/>
  <c r="E16" i="4"/>
  <c r="D16" i="4"/>
  <c r="F15" i="4"/>
  <c r="E15" i="4"/>
  <c r="D15" i="4"/>
  <c r="F14" i="4"/>
  <c r="E14" i="4"/>
  <c r="D14" i="4"/>
  <c r="F12" i="4"/>
  <c r="E12" i="4"/>
  <c r="D12" i="4"/>
  <c r="F11" i="4"/>
  <c r="E11" i="4"/>
  <c r="D11" i="4"/>
  <c r="F10" i="4"/>
  <c r="E10" i="4"/>
  <c r="D10" i="4"/>
  <c r="F8" i="4"/>
  <c r="E8" i="4"/>
  <c r="D8" i="4"/>
  <c r="F7" i="4"/>
  <c r="E7" i="4"/>
  <c r="D7" i="4"/>
  <c r="F6" i="4"/>
  <c r="E6" i="4"/>
  <c r="D6" i="4"/>
  <c r="F4" i="4"/>
  <c r="E4" i="4"/>
  <c r="D4" i="4"/>
  <c r="F3" i="4"/>
  <c r="E3" i="4"/>
  <c r="D3" i="4"/>
  <c r="L79" i="4"/>
  <c r="Q56" i="4"/>
  <c r="S17" i="4"/>
  <c r="P56" i="4"/>
  <c r="O56" i="4"/>
  <c r="J67" i="4"/>
  <c r="E67" i="4" s="1"/>
  <c r="N56" i="4"/>
  <c r="C56" i="4" s="1"/>
  <c r="R17" i="4"/>
  <c r="Q9" i="4"/>
  <c r="D9" i="4" s="1"/>
  <c r="P5" i="4"/>
  <c r="I83" i="4"/>
  <c r="E83" i="4" s="1"/>
  <c r="K44" i="4"/>
  <c r="I44" i="4"/>
  <c r="E44" i="4" s="1"/>
  <c r="I24" i="4"/>
  <c r="D24" i="4" s="1"/>
  <c r="I17" i="4"/>
  <c r="D17" i="4" s="1"/>
  <c r="J17" i="4"/>
  <c r="K5" i="4"/>
  <c r="D5" i="4" s="1"/>
  <c r="M5" i="4"/>
  <c r="N13" i="4"/>
  <c r="D95" i="4"/>
  <c r="L52" i="4" s="1"/>
  <c r="H93" i="4"/>
  <c r="L13" i="4" s="1"/>
  <c r="D13" i="4" s="1"/>
  <c r="H95" i="4"/>
  <c r="D93" i="4"/>
  <c r="J52" i="4" s="1"/>
  <c r="E52" i="4" s="1"/>
  <c r="E17" i="4" l="1"/>
  <c r="E24" i="4"/>
  <c r="C5" i="4"/>
  <c r="C9" i="4"/>
  <c r="C13" i="4"/>
  <c r="C17" i="4"/>
  <c r="C24" i="4"/>
  <c r="C44" i="4"/>
  <c r="C52" i="4"/>
  <c r="C67" i="4"/>
  <c r="C83" i="4"/>
  <c r="F5" i="4"/>
  <c r="F13" i="4"/>
  <c r="E56" i="4"/>
  <c r="E5" i="4"/>
  <c r="E13" i="4"/>
  <c r="F24" i="4"/>
  <c r="F44" i="4"/>
  <c r="F52" i="4"/>
  <c r="F56" i="4"/>
  <c r="F67" i="4"/>
  <c r="F83" i="4"/>
  <c r="E9" i="4"/>
  <c r="F9" i="4"/>
  <c r="F17" i="4"/>
  <c r="D44" i="4"/>
  <c r="D52" i="4"/>
  <c r="D56" i="4"/>
  <c r="D67" i="4"/>
  <c r="D83" i="4"/>
  <c r="F123" i="4"/>
  <c r="F124" i="4" s="1"/>
  <c r="D125" i="4"/>
  <c r="D124" i="4"/>
  <c r="D123" i="4"/>
  <c r="E124" i="4" l="1"/>
  <c r="G124" i="4" s="1"/>
  <c r="E104" i="4" s="1"/>
  <c r="K79" i="4" s="1"/>
  <c r="C79" i="4" s="1"/>
  <c r="E123" i="4"/>
  <c r="G123" i="4" s="1"/>
  <c r="H5" i="3"/>
  <c r="H7" i="3" s="1"/>
  <c r="F7" i="3"/>
  <c r="D114" i="4"/>
  <c r="E79" i="4" l="1"/>
  <c r="D79" i="4"/>
  <c r="F79" i="4"/>
  <c r="H114" i="4"/>
  <c r="F114" i="4"/>
  <c r="E48" i="3"/>
  <c r="I48" i="3"/>
  <c r="G48" i="3"/>
  <c r="I47" i="3"/>
  <c r="G47" i="3"/>
  <c r="E47" i="3"/>
  <c r="K42" i="3"/>
  <c r="A36" i="3"/>
  <c r="G40" i="3" s="1"/>
  <c r="A20" i="3"/>
  <c r="A19" i="3"/>
  <c r="A22" i="3" s="1"/>
  <c r="I22" i="3" s="1"/>
  <c r="A23" i="3"/>
  <c r="I42" i="3" s="1"/>
  <c r="E8" i="3"/>
  <c r="E9" i="3" s="1"/>
  <c r="E10" i="3" s="1"/>
  <c r="E7" i="3"/>
  <c r="E49" i="3" s="1"/>
  <c r="H10" i="3"/>
  <c r="F10" i="3"/>
  <c r="G7" i="3"/>
  <c r="G49" i="3" s="1"/>
  <c r="I7" i="3"/>
  <c r="I49" i="3" s="1"/>
  <c r="I9" i="3"/>
  <c r="I8" i="3"/>
  <c r="G9" i="3"/>
  <c r="G8" i="3"/>
  <c r="I53" i="3" l="1"/>
  <c r="E42" i="3"/>
  <c r="I10" i="3"/>
  <c r="A21" i="3"/>
  <c r="G42" i="3" s="1"/>
  <c r="G10" i="3"/>
  <c r="G53" i="3" l="1"/>
  <c r="G41" i="3"/>
  <c r="E53" i="3"/>
  <c r="E41" i="3"/>
  <c r="I51" i="3" l="1"/>
  <c r="G51" i="3"/>
  <c r="G50" i="3"/>
  <c r="E52" i="3"/>
  <c r="E51" i="3"/>
  <c r="I50" i="3"/>
  <c r="E50" i="3"/>
  <c r="I41" i="3"/>
  <c r="I40" i="3" s="1"/>
  <c r="G52" i="3"/>
  <c r="I5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Loper, Joe</author>
  </authors>
  <commentList>
    <comment ref="A1" authorId="0" shapeId="0" xr:uid="{00000000-0006-0000-0000-000001000000}">
      <text>
        <r>
          <rPr>
            <b/>
            <sz val="9"/>
            <color indexed="81"/>
            <rFont val="Tahoma"/>
            <family val="2"/>
          </rPr>
          <t>Loper, Joe:</t>
        </r>
        <r>
          <rPr>
            <sz val="9"/>
            <color indexed="81"/>
            <rFont val="Tahoma"/>
            <family val="2"/>
          </rPr>
          <t xml:space="preserve">
To Do:
-- Add MA and CO studies - -see ConEd/Cadmus list of studies.</t>
        </r>
      </text>
    </comment>
    <comment ref="E4" authorId="0" shapeId="0" xr:uid="{00000000-0006-0000-0000-000002000000}">
      <text>
        <r>
          <rPr>
            <b/>
            <sz val="9"/>
            <color indexed="81"/>
            <rFont val="Tahoma"/>
            <family val="2"/>
          </rPr>
          <t>Loper, Joe:</t>
        </r>
        <r>
          <rPr>
            <sz val="9"/>
            <color indexed="81"/>
            <rFont val="Tahoma"/>
            <family val="2"/>
          </rPr>
          <t xml:space="preserve">
Study also looked at kWh, according to DH - -see appendices</t>
        </r>
      </text>
    </comment>
    <comment ref="H4" authorId="0" shapeId="0" xr:uid="{00000000-0006-0000-0000-000003000000}">
      <text>
        <r>
          <rPr>
            <b/>
            <sz val="9"/>
            <color indexed="81"/>
            <rFont val="Tahoma"/>
            <family val="2"/>
          </rPr>
          <t>Loper, Joe:</t>
        </r>
        <r>
          <rPr>
            <sz val="9"/>
            <color indexed="81"/>
            <rFont val="Tahoma"/>
            <family val="2"/>
          </rPr>
          <t xml:space="preserve">
3-percentage point difference between SCTD 50% cycling savings and a 4-degree set back reflects the benefit of smart thermostats, assuming customer is neutral between the two --  According to DH, this would be an accurate intepretation.</t>
        </r>
      </text>
    </comment>
    <comment ref="J4" authorId="0" shapeId="0" xr:uid="{00000000-0006-0000-0000-000004000000}">
      <text>
        <r>
          <rPr>
            <b/>
            <sz val="9"/>
            <color indexed="81"/>
            <rFont val="Tahoma"/>
            <family val="2"/>
          </rPr>
          <t>Loper, Joe:</t>
        </r>
        <r>
          <rPr>
            <sz val="9"/>
            <color indexed="81"/>
            <rFont val="Tahoma"/>
            <family val="2"/>
          </rPr>
          <t xml:space="preserve">
Other studies did not target manual thermostat users so baselines thermostats are not known. This study is most applicable IF program knows the in situ thermostat type. </t>
        </r>
      </text>
    </comment>
    <comment ref="F5" authorId="0" shapeId="0" xr:uid="{00000000-0006-0000-0000-000005000000}">
      <text>
        <r>
          <rPr>
            <b/>
            <sz val="9"/>
            <color indexed="81"/>
            <rFont val="Tahoma"/>
            <family val="2"/>
          </rPr>
          <t>Loper, Joe:</t>
        </r>
        <r>
          <rPr>
            <sz val="9"/>
            <color indexed="81"/>
            <rFont val="Tahoma"/>
            <family val="2"/>
          </rPr>
          <t xml:space="preserve">
So Cadmus Indiana studies find smart thermos give ~ 6-7 percentage point savings over programmable thermos for gas heating.  Just ~ 1-percentage point over for electric cooling.  </t>
        </r>
      </text>
    </comment>
    <comment ref="H9" authorId="0" shapeId="0" xr:uid="{00000000-0006-0000-0000-000006000000}">
      <text>
        <r>
          <rPr>
            <b/>
            <sz val="9"/>
            <color indexed="81"/>
            <rFont val="Tahoma"/>
            <family val="2"/>
          </rPr>
          <t>Loper, Joe:</t>
        </r>
        <r>
          <rPr>
            <sz val="9"/>
            <color indexed="81"/>
            <rFont val="Tahoma"/>
            <family val="2"/>
          </rPr>
          <t xml:space="preserve">
Same as electric?</t>
        </r>
      </text>
    </comment>
    <comment ref="G16" authorId="0" shapeId="0" xr:uid="{00000000-0006-0000-0000-000007000000}">
      <text>
        <r>
          <rPr>
            <b/>
            <sz val="9"/>
            <color indexed="81"/>
            <rFont val="Tahoma"/>
            <family val="2"/>
          </rPr>
          <t>Loper, Joe:</t>
        </r>
        <r>
          <rPr>
            <sz val="9"/>
            <color indexed="81"/>
            <rFont val="Tahoma"/>
            <family val="2"/>
          </rPr>
          <t xml:space="preserve">
Joe Ball -- Please try to find this info and check CA Workpaper to make sure I accurately captured info.</t>
        </r>
      </text>
    </comment>
    <comment ref="A17" authorId="0" shapeId="0" xr:uid="{00000000-0006-0000-0000-000008000000}">
      <text>
        <r>
          <rPr>
            <b/>
            <sz val="9"/>
            <color indexed="81"/>
            <rFont val="Tahoma"/>
            <family val="2"/>
          </rPr>
          <t>Loper, Joe:</t>
        </r>
        <r>
          <rPr>
            <sz val="9"/>
            <color indexed="81"/>
            <rFont val="Tahoma"/>
            <family val="2"/>
          </rPr>
          <t xml:space="preserve">
Missing studies?</t>
        </r>
      </text>
    </comment>
    <comment ref="F22" authorId="0" shapeId="0" xr:uid="{00000000-0006-0000-0000-000009000000}">
      <text>
        <r>
          <rPr>
            <b/>
            <sz val="9"/>
            <color indexed="81"/>
            <rFont val="Tahoma"/>
            <family val="2"/>
          </rPr>
          <t>Loper, Joe:</t>
        </r>
        <r>
          <rPr>
            <sz val="9"/>
            <color indexed="81"/>
            <rFont val="Tahoma"/>
            <family val="2"/>
          </rPr>
          <t xml:space="preserve">
Need to normalize to percentages for comparison...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Loper, Joe</author>
    <author>Ball, Joseph</author>
  </authors>
  <commentList>
    <comment ref="F17" authorId="0" shapeId="0" xr:uid="{00000000-0006-0000-0100-000001000000}">
      <text>
        <r>
          <rPr>
            <b/>
            <sz val="9"/>
            <color indexed="81"/>
            <rFont val="Tahoma"/>
            <family val="2"/>
          </rPr>
          <t>Loper, Joe:</t>
        </r>
        <r>
          <rPr>
            <sz val="9"/>
            <color indexed="81"/>
            <rFont val="Tahoma"/>
            <family val="2"/>
          </rPr>
          <t xml:space="preserve">
7.5  if exclude Hwell.</t>
        </r>
      </text>
    </comment>
    <comment ref="O41" authorId="0" shapeId="0" xr:uid="{00000000-0006-0000-0100-000002000000}">
      <text>
        <r>
          <rPr>
            <b/>
            <sz val="9"/>
            <color indexed="81"/>
            <rFont val="Tahoma"/>
            <family val="2"/>
          </rPr>
          <t>Loper, Joe:</t>
        </r>
        <r>
          <rPr>
            <sz val="9"/>
            <color indexed="81"/>
            <rFont val="Tahoma"/>
            <family val="2"/>
          </rPr>
          <t xml:space="preserve">
MF/SF estimates also provided in study -- MF much higher than SF (see below for more detail).</t>
        </r>
      </text>
    </comment>
    <comment ref="A87" authorId="0" shapeId="0" xr:uid="{00000000-0006-0000-0100-000003000000}">
      <text>
        <r>
          <rPr>
            <b/>
            <sz val="9"/>
            <color indexed="81"/>
            <rFont val="Tahoma"/>
            <family val="2"/>
          </rPr>
          <t>Loper, Joe:</t>
        </r>
        <r>
          <rPr>
            <sz val="9"/>
            <color indexed="81"/>
            <rFont val="Tahoma"/>
            <family val="2"/>
          </rPr>
          <t xml:space="preserve">
Joe B -- This info should be fairly easily gleaned from "Studies Summary" sheet. But please be sure to put in correct categories in table above.</t>
        </r>
      </text>
    </comment>
    <comment ref="K98" authorId="0" shapeId="0" xr:uid="{00000000-0006-0000-0100-000004000000}">
      <text>
        <r>
          <rPr>
            <b/>
            <sz val="9"/>
            <color indexed="81"/>
            <rFont val="Tahoma"/>
            <family val="2"/>
          </rPr>
          <t>Loper, Joe:</t>
        </r>
        <r>
          <rPr>
            <sz val="9"/>
            <color indexed="81"/>
            <rFont val="Tahoma"/>
            <family val="2"/>
          </rPr>
          <t xml:space="preserve">
Need to fill in -- subsets of 2118
</t>
        </r>
      </text>
    </comment>
    <comment ref="E104" authorId="1" shapeId="0" xr:uid="{00000000-0006-0000-0100-000005000000}">
      <text>
        <r>
          <rPr>
            <b/>
            <sz val="9"/>
            <color indexed="81"/>
            <rFont val="Tahoma"/>
            <family val="2"/>
          </rPr>
          <t>Ball, Joseph:</t>
        </r>
        <r>
          <rPr>
            <sz val="9"/>
            <color indexed="81"/>
            <rFont val="Tahoma"/>
            <family val="2"/>
          </rPr>
          <t xml:space="preserve">
SWAG estimate from interpolating kWh ratios and translating them to kW.</t>
        </r>
      </text>
    </comment>
    <comment ref="B109" authorId="0" shapeId="0" xr:uid="{00000000-0006-0000-0100-000006000000}">
      <text>
        <r>
          <rPr>
            <b/>
            <sz val="9"/>
            <color indexed="81"/>
            <rFont val="Tahoma"/>
            <family val="2"/>
          </rPr>
          <t>Loper, Joe:</t>
        </r>
        <r>
          <rPr>
            <sz val="9"/>
            <color indexed="81"/>
            <rFont val="Tahoma"/>
            <family val="2"/>
          </rPr>
          <t xml:space="preserve">
Not included above -- Unclear baselines and thermostat functionality associated with 3.3% total electric savings.  </t>
        </r>
      </text>
    </comment>
    <comment ref="B110" authorId="0" shapeId="0" xr:uid="{00000000-0006-0000-0100-000007000000}">
      <text>
        <r>
          <rPr>
            <b/>
            <sz val="9"/>
            <color indexed="81"/>
            <rFont val="Tahoma"/>
            <family val="2"/>
          </rPr>
          <t>Loper, Joe:</t>
        </r>
        <r>
          <rPr>
            <sz val="9"/>
            <color indexed="81"/>
            <rFont val="Tahoma"/>
            <family val="2"/>
          </rPr>
          <t xml:space="preserve">
Not included -- Including would overweight metanalysis studies that are in our study set.</t>
        </r>
      </text>
    </comment>
    <comment ref="B112" authorId="0" shapeId="0" xr:uid="{00000000-0006-0000-0100-000008000000}">
      <text>
        <r>
          <rPr>
            <b/>
            <sz val="9"/>
            <color indexed="81"/>
            <rFont val="Tahoma"/>
            <family val="2"/>
          </rPr>
          <t>Loper, Joe:</t>
        </r>
        <r>
          <rPr>
            <sz val="9"/>
            <color indexed="81"/>
            <rFont val="Tahoma"/>
            <family val="2"/>
          </rPr>
          <t xml:space="preserve">
Joe B -- I don’t see these studies below in the folder.  And no sumamry on previous sheet. Thus no idea baselines.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Ball, Joseph</author>
  </authors>
  <commentList>
    <comment ref="F5" authorId="0" shapeId="0" xr:uid="{00000000-0006-0000-0200-000001000000}">
      <text>
        <r>
          <rPr>
            <b/>
            <sz val="9"/>
            <color indexed="81"/>
            <rFont val="Tahoma"/>
            <family val="2"/>
          </rPr>
          <t>Ball, Joseph:</t>
        </r>
        <r>
          <rPr>
            <sz val="9"/>
            <color indexed="81"/>
            <rFont val="Tahoma"/>
            <family val="2"/>
          </rPr>
          <t xml:space="preserve">
Itron FPL </t>
        </r>
      </text>
    </comment>
    <comment ref="H5" authorId="0" shapeId="0" xr:uid="{00000000-0006-0000-0200-000002000000}">
      <text>
        <r>
          <rPr>
            <b/>
            <sz val="9"/>
            <color indexed="81"/>
            <rFont val="Tahoma"/>
            <family val="2"/>
          </rPr>
          <t>Ball, Joseph:</t>
        </r>
        <r>
          <rPr>
            <sz val="9"/>
            <color indexed="81"/>
            <rFont val="Tahoma"/>
            <family val="2"/>
          </rPr>
          <t xml:space="preserve">
SWAG value from ratio cooling kWh and peak kW to heating kWh</t>
        </r>
      </text>
    </comment>
    <comment ref="F6" authorId="0" shapeId="0" xr:uid="{00000000-0006-0000-0200-000003000000}">
      <text>
        <r>
          <rPr>
            <b/>
            <sz val="9"/>
            <color indexed="81"/>
            <rFont val="Tahoma"/>
            <family val="2"/>
          </rPr>
          <t>Ball, Joseph:</t>
        </r>
        <r>
          <rPr>
            <sz val="9"/>
            <color indexed="81"/>
            <rFont val="Tahoma"/>
            <family val="2"/>
          </rPr>
          <t xml:space="preserve">
FSEC 2016 &amp; SDG&amp;E kW studies
</t>
        </r>
      </text>
    </comment>
    <comment ref="H6" authorId="0" shapeId="0" xr:uid="{00000000-0006-0000-0200-000004000000}">
      <text>
        <r>
          <rPr>
            <b/>
            <sz val="9"/>
            <color indexed="81"/>
            <rFont val="Tahoma"/>
            <family val="2"/>
          </rPr>
          <t>Ball, Joseph:</t>
        </r>
        <r>
          <rPr>
            <sz val="9"/>
            <color indexed="81"/>
            <rFont val="Tahoma"/>
            <family val="2"/>
          </rPr>
          <t xml:space="preserve">
FSEC 2016 &amp; SDG&amp;E kW studies
</t>
        </r>
      </text>
    </comment>
    <comment ref="E9" authorId="0" shapeId="0" xr:uid="{00000000-0006-0000-0200-000005000000}">
      <text>
        <r>
          <rPr>
            <b/>
            <sz val="9"/>
            <color indexed="81"/>
            <rFont val="Tahoma"/>
            <family val="2"/>
          </rPr>
          <t>Ball, Joseph:</t>
        </r>
        <r>
          <rPr>
            <sz val="9"/>
            <color indexed="81"/>
            <rFont val="Tahoma"/>
            <family val="2"/>
          </rPr>
          <t xml:space="preserve">
JB estimated ratio of SF values</t>
        </r>
      </text>
    </comment>
    <comment ref="E11" authorId="0" shapeId="0" xr:uid="{00000000-0006-0000-0200-000006000000}">
      <text>
        <r>
          <rPr>
            <b/>
            <sz val="9"/>
            <color indexed="81"/>
            <rFont val="Tahoma"/>
            <family val="2"/>
          </rPr>
          <t>Ball, Joseph:</t>
        </r>
        <r>
          <rPr>
            <sz val="9"/>
            <color indexed="81"/>
            <rFont val="Tahoma"/>
            <family val="2"/>
          </rPr>
          <t xml:space="preserve">
Itron FPL</t>
        </r>
      </text>
    </comment>
    <comment ref="E40" authorId="0" shapeId="0" xr:uid="{00000000-0006-0000-0200-000007000000}">
      <text>
        <r>
          <rPr>
            <b/>
            <sz val="9"/>
            <color indexed="81"/>
            <rFont val="Tahoma"/>
            <family val="2"/>
          </rPr>
          <t>Ball, Joseph:</t>
        </r>
        <r>
          <rPr>
            <sz val="9"/>
            <color indexed="81"/>
            <rFont val="Tahoma"/>
            <family val="2"/>
          </rPr>
          <t xml:space="preserve">
MD Baseline study for CAC UEC per MD resdiential customer</t>
        </r>
      </text>
    </comment>
    <comment ref="G40" authorId="0" shapeId="0" xr:uid="{00000000-0006-0000-0200-000008000000}">
      <text>
        <r>
          <rPr>
            <b/>
            <sz val="9"/>
            <color indexed="81"/>
            <rFont val="Tahoma"/>
            <family val="2"/>
          </rPr>
          <t>Ball, Joseph:</t>
        </r>
        <r>
          <rPr>
            <sz val="9"/>
            <color indexed="81"/>
            <rFont val="Tahoma"/>
            <family val="2"/>
          </rPr>
          <t xml:space="preserve">
Based on MD heat pump energy usage (5269 kWh) &amp; MD market share (31%) and no other electric heating values...</t>
        </r>
      </text>
    </comment>
    <comment ref="I40" authorId="0" shapeId="0" xr:uid="{00000000-0006-0000-0200-000009000000}">
      <text>
        <r>
          <rPr>
            <b/>
            <sz val="9"/>
            <color indexed="81"/>
            <rFont val="Tahoma"/>
            <family val="2"/>
          </rPr>
          <t>Ball, Joseph:</t>
        </r>
        <r>
          <rPr>
            <sz val="9"/>
            <color indexed="81"/>
            <rFont val="Tahoma"/>
            <family val="2"/>
          </rPr>
          <t xml:space="preserve">
JB applied the MD distribution 73% (SF) and 27% (MF/MH) for gas heating fuel to the SF to MF cooling ratio (column "E") to calc therms for SF and MF.</t>
        </r>
      </text>
    </comment>
    <comment ref="E41" authorId="0" shapeId="0" xr:uid="{00000000-0006-0000-0200-00000A000000}">
      <text>
        <r>
          <rPr>
            <b/>
            <sz val="9"/>
            <color indexed="81"/>
            <rFont val="Tahoma"/>
            <family val="2"/>
          </rPr>
          <t>Ball, Joseph:</t>
        </r>
        <r>
          <rPr>
            <sz val="9"/>
            <color indexed="81"/>
            <rFont val="Tahoma"/>
            <family val="2"/>
          </rPr>
          <t xml:space="preserve">
Calc'd by JB using 85.5% SF and 14.5% MF Maryland housing stock %</t>
        </r>
      </text>
    </comment>
    <comment ref="E42" authorId="0" shapeId="0" xr:uid="{00000000-0006-0000-0200-00000B000000}">
      <text>
        <r>
          <rPr>
            <b/>
            <sz val="9"/>
            <color indexed="81"/>
            <rFont val="Tahoma"/>
            <family val="2"/>
          </rPr>
          <t>Ball, Joseph:</t>
        </r>
        <r>
          <rPr>
            <sz val="9"/>
            <color indexed="81"/>
            <rFont val="Tahoma"/>
            <family val="2"/>
          </rPr>
          <t xml:space="preserve">
Comes from MD Baseline study inferred statewide values for baseloads versus heating and cooling loads</t>
        </r>
      </text>
    </comment>
    <comment ref="G42" authorId="0" shapeId="0" xr:uid="{00000000-0006-0000-0200-00000C000000}">
      <text>
        <r>
          <rPr>
            <b/>
            <sz val="9"/>
            <color indexed="81"/>
            <rFont val="Tahoma"/>
            <family val="2"/>
          </rPr>
          <t>Ball, Joseph:</t>
        </r>
        <r>
          <rPr>
            <sz val="9"/>
            <color indexed="81"/>
            <rFont val="Tahoma"/>
            <family val="2"/>
          </rPr>
          <t xml:space="preserve">
Comes from MD Baseline study inferred statewide values for baseloads versus heating and cooling loads</t>
        </r>
      </text>
    </comment>
    <comment ref="I42" authorId="0" shapeId="0" xr:uid="{00000000-0006-0000-0200-00000D000000}">
      <text>
        <r>
          <rPr>
            <b/>
            <sz val="9"/>
            <color indexed="81"/>
            <rFont val="Tahoma"/>
            <family val="2"/>
          </rPr>
          <t>Ball, Joseph:</t>
        </r>
        <r>
          <rPr>
            <sz val="9"/>
            <color indexed="81"/>
            <rFont val="Tahoma"/>
            <family val="2"/>
          </rPr>
          <t xml:space="preserve">
Comes from BG&amp;E data in MD Baseline Study</t>
        </r>
      </text>
    </comment>
    <comment ref="H48" authorId="0" shapeId="0" xr:uid="{00000000-0006-0000-0200-00000E000000}">
      <text>
        <r>
          <rPr>
            <b/>
            <sz val="9"/>
            <color indexed="81"/>
            <rFont val="Tahoma"/>
            <family val="2"/>
          </rPr>
          <t>Ball, Joseph:</t>
        </r>
        <r>
          <rPr>
            <sz val="9"/>
            <color indexed="81"/>
            <rFont val="Tahoma"/>
            <family val="2"/>
          </rPr>
          <t xml:space="preserve">
FSEC 2016 &amp; SDG&amp;E kW studies
</t>
        </r>
      </text>
    </comment>
  </commentList>
</comments>
</file>

<file path=xl/sharedStrings.xml><?xml version="1.0" encoding="utf-8"?>
<sst xmlns="http://schemas.openxmlformats.org/spreadsheetml/2006/main" count="635" uniqueCount="322">
  <si>
    <t>Nest</t>
  </si>
  <si>
    <t xml:space="preserve">Energy Trust of Oregon </t>
  </si>
  <si>
    <t>Apex Analytics</t>
  </si>
  <si>
    <t>Range</t>
  </si>
  <si>
    <t>6% (Nest) to -5% (Hwell Lyric)</t>
  </si>
  <si>
    <t>Analyst</t>
  </si>
  <si>
    <t>Client</t>
  </si>
  <si>
    <t>Study Methods</t>
  </si>
  <si>
    <t>Bill analysis (incl non-participants), surveys, interviews</t>
  </si>
  <si>
    <t>SDG&amp;E</t>
  </si>
  <si>
    <t>Mfrs</t>
  </si>
  <si>
    <t>Program</t>
  </si>
  <si>
    <t xml:space="preserve">Reduced price ($19) for ~ $250 retail thermostats.  No DLC or other actions.  </t>
  </si>
  <si>
    <t>Sample</t>
  </si>
  <si>
    <t>Itron</t>
  </si>
  <si>
    <t>Energy/Demand</t>
  </si>
  <si>
    <t>Electric kW during load events</t>
  </si>
  <si>
    <t>Ecobee Smart Si</t>
  </si>
  <si>
    <t>Gas heating therms</t>
  </si>
  <si>
    <t>SCTD w/ DLC average 20% reduction in load -- 22% w/ 4 degree setback and 19% w/ 50% cycling. PTR w/SCTD enabled DLC average 25% reduction.</t>
  </si>
  <si>
    <t>Bill analysis (incl non-participants).</t>
  </si>
  <si>
    <t>Vectren (Indiana)</t>
  </si>
  <si>
    <t>Cadmus</t>
  </si>
  <si>
    <t>Gas heating therms and electric cooling kWh</t>
  </si>
  <si>
    <t xml:space="preserve">Nest, Honeywell programmable  </t>
  </si>
  <si>
    <t>Nest, Honeywell Lyric (smart)</t>
  </si>
  <si>
    <t>NIPSCo (Indiana)</t>
  </si>
  <si>
    <t>Study Year</t>
  </si>
  <si>
    <t xml:space="preserve">Direct install of programmable and Nest thermostats, along with training on use.  Targeting duel fuel customers with manual thermostats that received audits previously, but did not do recommended retrofits.  </t>
  </si>
  <si>
    <t>Pre-post bill analysis with control group.  Surveys of participants. Temperature and indoor temperature loggers installed.</t>
  </si>
  <si>
    <t>12%</t>
  </si>
  <si>
    <t>Liberty Utilities (New Hampshire)</t>
  </si>
  <si>
    <t>Gas usage</t>
  </si>
  <si>
    <t xml:space="preserve">Pre-post bill analysis with self reported participant usage data and indoor temperature loggers. </t>
  </si>
  <si>
    <t xml:space="preserve">32 thermostats in 29 homes homes. </t>
  </si>
  <si>
    <t>Participants with the Nest thermostat reduced their heating gas consumption by 12.5% (11-14%) compared to 5% (4-6%) for participants with a programmable thermostat. Nest thermostat users had, on average, a 13.9% (9-19%) reduction in electricity use for cooling, compared to 13.1% (7-19%) for programmable.  [All 90% Confidence intervals]</t>
  </si>
  <si>
    <t>Participants with the Nest thermostat reduced their heating gas consumption by 13.4% (11-16%) compared to 7.8% (6-10%) for participants with a programmable thermostat. Nest thermostat users had, on average, a 16.1% (10%-22%) reduction in electricity use for cooling compared to 15% (10-22%) for programmable. [All 90% Confidence intervals]</t>
  </si>
  <si>
    <t>Navigant</t>
  </si>
  <si>
    <t>Electric kWh</t>
  </si>
  <si>
    <t>$100 rebate after enrolling in Nest program -- i.e., Nest thermostat connected to WiFI and controlling AC.</t>
  </si>
  <si>
    <t>Fixed effects bill analysis.</t>
  </si>
  <si>
    <t xml:space="preserve">Census of 3,193 participants.  1,887 final treatment sample and 1,791 controls (non-participants). </t>
  </si>
  <si>
    <t>Illinois TRM</t>
  </si>
  <si>
    <t xml:space="preserve">kWh, kW, therms. </t>
  </si>
  <si>
    <t xml:space="preserve">NA </t>
  </si>
  <si>
    <t>Negotiated</t>
  </si>
  <si>
    <t>Default baseline is 44% programmable, 56% manual thermostats.</t>
  </si>
  <si>
    <t xml:space="preserve">SF homes heating savings w/ manual baseline = 8.8% of heating consumption; w/ programmable baseline = 5.6%.  MF heating savings = 65% of single family savings.  SF homes electric cooling savings = 8%; MF homes cooling savings are roughly half of SF savings, if thermostat control unknown. </t>
  </si>
  <si>
    <t xml:space="preserve">Average savings of 4.8% of full year cooling load. </t>
  </si>
  <si>
    <t xml:space="preserve">9.6% of cooling kWh and 16% of summer peak kW; 9.5% of heating kWh and 14% of winter peak kW. </t>
  </si>
  <si>
    <t xml:space="preserve">One year pre-post sub-metered consumption data for 22 Nest thermostats that were installed by the program without other types of measures. </t>
  </si>
  <si>
    <t xml:space="preserve">Nest units direct-installed as part of retrofit pilot program. </t>
  </si>
  <si>
    <t>22 treated units.</t>
  </si>
  <si>
    <t xml:space="preserve">Florida </t>
  </si>
  <si>
    <t>Florida Power &amp; Light</t>
  </si>
  <si>
    <t>Florida Solar Energy Center</t>
  </si>
  <si>
    <t>kWh, kW</t>
  </si>
  <si>
    <t xml:space="preserve">SF kWh savings = 7.7% of cooling,  Villa/Duplex savings = 21% of cooling, All = 12.4% of cooling.  SF peak savings = 5.4% of cooling, Villa/Duplex savings = 26.7% of cooling.   </t>
  </si>
  <si>
    <t>101 treatment homes, 2,700 control homes.</t>
  </si>
  <si>
    <t xml:space="preserve">Trial targeting homes with one non-Nest thermostat and working WiFi. </t>
  </si>
  <si>
    <t>Nexant</t>
  </si>
  <si>
    <t>PG&amp;E</t>
  </si>
  <si>
    <t>Study trial included direct install of Honeywell Programmable Thermostats with Opower software to enable remote control and behavioral messaging.</t>
  </si>
  <si>
    <t>Honeywell/OPower</t>
  </si>
  <si>
    <t xml:space="preserve">Fixed effects bill analysis combined with surveys to gain data on customer behavior and interaction with devices and software. </t>
  </si>
  <si>
    <t xml:space="preserve">Electric savings not statistically different from zero = 0.7% (-1.5 to 2.9% at 95% CI).  Gas savings not statistically different from zero = -1.4% (-3.2 to 0.3% at 95% CI).    </t>
  </si>
  <si>
    <t>kWh, therms</t>
  </si>
  <si>
    <t>TRMs</t>
  </si>
  <si>
    <t>Arkansas</t>
  </si>
  <si>
    <t>2016 update</t>
  </si>
  <si>
    <t xml:space="preserve">kWh/square foot, therms/square foot </t>
  </si>
  <si>
    <t xml:space="preserve">Cooling = 0.399 kWh/sf; Resistance heating = 0.75 kWh/sf; Heat pump heating = 0.351 kWh/sf; Gas heating = 0.033 therms/sf.  </t>
  </si>
  <si>
    <t>NA</t>
  </si>
  <si>
    <t xml:space="preserve">Meta-analysis. Studies included: Cadmus Vectren and NIPSCO, Navigant ComEd, and Nest. </t>
  </si>
  <si>
    <t>Heating % savings values based on "Navigant’s PowerPoint on Impact Analysis from Preliminary Gas savings findings (slide 28 of ‘IL SAG Smart Thermostat Preliminary Gas Impact Findings 2015-12-08 to IL SAG.ppt’). These values are used as the basis for the weighted average savings value when the type of existing thermostat is not known. Using the default assumption of 56% manual and 44% programmable as described in the baseline definition section above the 7.4% savings value is equal to the sum of proportional savings for manual and programmable thermostats: 8.8% * 0.56 + 5.6% * 0.44. Further evaluation and regular review of this key assumption is encouraged."</t>
  </si>
  <si>
    <t>Gas therms</t>
  </si>
  <si>
    <t xml:space="preserve">ComEd/ILSAG </t>
  </si>
  <si>
    <t>ILSAG</t>
  </si>
  <si>
    <t>2,118 in treatment group.  2,058 in control.</t>
  </si>
  <si>
    <t>Same as above?</t>
  </si>
  <si>
    <t>RTF</t>
  </si>
  <si>
    <t>2017 update</t>
  </si>
  <si>
    <t>Retail and Direct Install - Retail delivery mechanism assumes 90% self-install and 10% professional installation</t>
  </si>
  <si>
    <t>Meta-analysis. Studies included: APEX ETO and Nest</t>
  </si>
  <si>
    <t>BPA and FPUD</t>
  </si>
  <si>
    <t>ClearResult</t>
  </si>
  <si>
    <t>Nest Learning Thermostat</t>
  </si>
  <si>
    <t xml:space="preserve">Heat Pump Pilot Study M&amp;V of 176 homes, between 2013 and 2015.  </t>
  </si>
  <si>
    <t>N/A</t>
  </si>
  <si>
    <t xml:space="preserve">693 volunteers randomly assigned to a treatment group and 695 randomly assigned to control group. </t>
  </si>
  <si>
    <t>6 program scenarios compared: 1) thermostat only, 2) thermostat with 4-degree setback, 3) thermostat with 50% cycling, 4-6) peak time rebates (PTR) with each of above scenarios.  Overall there is a 5% point difference between 50% cycling and 4-degree setback.</t>
  </si>
  <si>
    <t>Regression modeling using billing data and three methods:  
1. A Prism-like pre-post Normalized Annual Consumption (NAC) model with Variable Base Degree Days (VBDD)
2. A pooled fixed and random effects (mixed effects) model
3. A change point model using ECAM+ software</t>
  </si>
  <si>
    <t>Program Design</t>
  </si>
  <si>
    <t>Home Type</t>
  </si>
  <si>
    <t>Baseline T-Stat</t>
  </si>
  <si>
    <t>Heating Consumption</t>
  </si>
  <si>
    <t>kWh</t>
  </si>
  <si>
    <t>Summer Peak kW</t>
  </si>
  <si>
    <t>Winter Peak kW</t>
  </si>
  <si>
    <t>Therms</t>
  </si>
  <si>
    <t>Cooling Consumption</t>
  </si>
  <si>
    <t>Direct Install</t>
  </si>
  <si>
    <t>Single Family</t>
  </si>
  <si>
    <t>Programmable</t>
  </si>
  <si>
    <t>Manual</t>
  </si>
  <si>
    <t>Unknown</t>
  </si>
  <si>
    <t>Multi-Family</t>
  </si>
  <si>
    <t>All</t>
  </si>
  <si>
    <t>Notes</t>
  </si>
  <si>
    <t>745-955</t>
  </si>
  <si>
    <t>Cool Range %</t>
  </si>
  <si>
    <t>Heat Range %</t>
  </si>
  <si>
    <t>Totals Range kWh Saved</t>
  </si>
  <si>
    <t>Increase manual t-stat savings because of vectren studies show 12.5% therm savings over programmable; IL was only 8.8%.</t>
  </si>
  <si>
    <t>8-9.5</t>
  </si>
  <si>
    <t xml:space="preserve">Overall average savings of 6.7% of full year heating load.  8.8% for direct install replacing manual thermostat. 5.6% new construction in place of programmable.    </t>
  </si>
  <si>
    <t>Apply (Arkansas TRM) Rule of 15% properly programmed P-Stats to 85% manual T-Stats rule</t>
  </si>
  <si>
    <t>4.8-9</t>
  </si>
  <si>
    <t>IL TRM assumes 65% reduction in SF savings values… but these are unsubstantiated by both SDG&amp;E and Florida peak summer kW M&amp;V studies.</t>
  </si>
  <si>
    <t>*Illinois TRM concedes that not enough studies have been completed on peak summer and winter demand reduction.</t>
  </si>
  <si>
    <t>**Heat Pumps get an extra 2% elec heating savings over FAFs (ETO research).</t>
  </si>
  <si>
    <t>Balance IL, southern Indiana (Vectren), northern Arkansas, and ETO because these have similar HDD &amp; CDD values &amp; similar climatic regions.</t>
  </si>
  <si>
    <t xml:space="preserve">***Ratio of demand on the peak hour (5PM) to the maximum connected load (definition used in the Mid-Atlantic TRM)
</t>
  </si>
  <si>
    <t>****Ratio of average summer (may to September) peak demand (2PM to 6PM) to the maximum connected load (PJM definition)</t>
  </si>
  <si>
    <t xml:space="preserve">^KEMA finds a relatively high saturation of electricity as the primary heating fuel in Maryland homes, especially in small (32%) and large (48%) multifamily buildings. Statewide, we estimate about 14% of homes have heat pumps as the primary heating type.  </t>
  </si>
  <si>
    <t xml:space="preserve">^^Gas furnaces represent the most common heating fuel/equipment type combination statewide, with an average of 38 percent.  </t>
  </si>
  <si>
    <t>^^^Average annual consumption for the sample of customers was 12,322 kWh/year, or 44 percent more than the average of 8,568 kWh per year for customers classified as base load only.  Customers with electric heat used 64 percent on average more than the base load only customers.  The corresponding figures for the cooling and heating and cooling groups were 31 percent and 77 percent. We use these relationships in the next section to estimate the allocation of total electric consumption to base load, heating, and cooling end uses.</t>
  </si>
  <si>
    <t>Statewide Maryland</t>
  </si>
  <si>
    <t>Electric</t>
  </si>
  <si>
    <t>Natural Gas</t>
  </si>
  <si>
    <t>Oil</t>
  </si>
  <si>
    <t>Propane</t>
  </si>
  <si>
    <t>End Use</t>
  </si>
  <si>
    <t>%</t>
  </si>
  <si>
    <t>GWH</t>
  </si>
  <si>
    <t>MM Therms</t>
  </si>
  <si>
    <t>MM Gallons</t>
  </si>
  <si>
    <t>Base Load</t>
  </si>
  <si>
    <t>Heating</t>
  </si>
  <si>
    <t>Cooling</t>
  </si>
  <si>
    <t>Total</t>
  </si>
  <si>
    <t>heat + cool (kWh)</t>
  </si>
  <si>
    <t>heat only (kWh)</t>
  </si>
  <si>
    <t>baseload (kWh)</t>
  </si>
  <si>
    <t>14.5% live in MF or MH</t>
  </si>
  <si>
    <t>85.5% of residential customers in Maryland live in SF homes</t>
  </si>
  <si>
    <t>BG&amp;E Average annual heating Usage (Therms)</t>
  </si>
  <si>
    <t>BG&amp;E baseload (Therms)</t>
  </si>
  <si>
    <t>31% of Maryland residents use a heat pump as their primary cooling mechanism.</t>
  </si>
  <si>
    <t>note: perhaps not including other heating modes such as portable heaters, etc.</t>
  </si>
  <si>
    <t>note: perhaps does not include RAC or fans (WH, ceiling, portable, ether).</t>
  </si>
  <si>
    <t>Direct Install of 11 and self-install of 21 Venstar ColorTouch t5800 wifi enabled programmable thermostats in 29 homes.</t>
  </si>
  <si>
    <t>Cooling Savings %</t>
  </si>
  <si>
    <t>Heating Savings %</t>
  </si>
  <si>
    <t>13.1 (7-19%)</t>
  </si>
  <si>
    <t>4.8-13.9 (9-19%)</t>
  </si>
  <si>
    <t>5-10</t>
  </si>
  <si>
    <t>Other</t>
  </si>
  <si>
    <t>CAC cooling only (kWh)</t>
  </si>
  <si>
    <t>It appears that the average size Maryland home is approximately 1850 sqft from figure 5-5 in Maryland Baseline Study (KEMA 2009)</t>
  </si>
  <si>
    <t>Maryland Statewide Heating &amp; Cooling UEC Estimates</t>
  </si>
  <si>
    <t>Cooling Savings</t>
  </si>
  <si>
    <t>Heating Savings</t>
  </si>
  <si>
    <t xml:space="preserve">~Distribution of customers by heating fuel.  MD Baseline Study (KEMA) Table 3 3 shows the distribution of Maryland housing units by structure type and primary heating fuel.  Slightly over 73 percent of Maryland housing units are single family, with single family detached accounting for 52 percent of the total.  Units in multi-family buildings with five or more apartments account for another 20 percent of the total and manufactured/mobile homes and smaller units in smaller multifamily structures together account for about 6 percent of the total. </t>
  </si>
  <si>
    <t>a*0.73 + b*0.27 = 476</t>
  </si>
  <si>
    <t>a = b*(1661/546.5)</t>
  </si>
  <si>
    <t>b = 476/[(1661/546.5)*0.73 + 0.27]</t>
  </si>
  <si>
    <t>avg CDH</t>
  </si>
  <si>
    <t>ConED</t>
  </si>
  <si>
    <t>2,372 customers in the treatment group drawn from Con Edison’s DLC Program.  2,543 customers from the comparison group who did not participate in the DLC Program.</t>
  </si>
  <si>
    <t>Nest, Honeywell, Ecobee, Schneider</t>
  </si>
  <si>
    <t>Meta-analysis</t>
  </si>
  <si>
    <t>Baseline</t>
  </si>
  <si>
    <t>Mixed/Unknown</t>
  </si>
  <si>
    <t>State</t>
  </si>
  <si>
    <t>Programmed</t>
  </si>
  <si>
    <t>Undefined "Smart"</t>
  </si>
  <si>
    <t>Thermo Type</t>
  </si>
  <si>
    <t>Study</t>
  </si>
  <si>
    <t>APEX Gas for ETO - Nest</t>
  </si>
  <si>
    <t xml:space="preserve">APEX Gas for ETO - Honeywell Lyric </t>
  </si>
  <si>
    <t>Programmed (direct Install or confirmed)</t>
  </si>
  <si>
    <t>plus Communicating</t>
  </si>
  <si>
    <t>plus Occupancy Sensors and/or Geo-fencing</t>
  </si>
  <si>
    <t>% Fuel Heating Savings</t>
  </si>
  <si>
    <t>OR</t>
  </si>
  <si>
    <t>kWh savings 3.3% of total kWh energy consumption.</t>
  </si>
  <si>
    <t>Measure Thermostat Type</t>
  </si>
  <si>
    <t>Manual/Unprogrammed</t>
  </si>
  <si>
    <t>Study #</t>
  </si>
  <si>
    <t>(indirectly Cadmus)</t>
  </si>
  <si>
    <t>Note:  11 of the 185 had technical issues or failed; and it appears were to have been "cherry-picked" out of the final energy savings analysis; therefore, sample could have been only 174.  It is unknown whether or not the 11 zero savers were were included in th 12% savings from the 185 or just the 174 "working" sample group.\</t>
  </si>
  <si>
    <t>2a</t>
  </si>
  <si>
    <t>2b</t>
  </si>
  <si>
    <t>APEX Elec HP for ETO - Nest</t>
  </si>
  <si>
    <t>Sample Size for Analysis</t>
  </si>
  <si>
    <r>
      <t xml:space="preserve">185 treated homes.  211 control group homes.  </t>
    </r>
    <r>
      <rPr>
        <sz val="11"/>
        <color rgb="FFFF0000"/>
        <rFont val="Calibri"/>
        <family val="2"/>
        <scheme val="minor"/>
      </rPr>
      <t>113 used for analysis.</t>
    </r>
  </si>
  <si>
    <r>
      <t xml:space="preserve">Randomly selected participants (except supplemented with implementers and contractors).  ~1k non-participants.  </t>
    </r>
    <r>
      <rPr>
        <sz val="11"/>
        <color rgb="FFFF0000"/>
        <rFont val="Calibri"/>
        <family val="2"/>
        <scheme val="minor"/>
      </rPr>
      <t>280 total:  153 - Nest; 127 - Lyric used in analysis.</t>
    </r>
  </si>
  <si>
    <t>Itron for SDG&amp;E (SCTD) - Ecobee Smart Si</t>
  </si>
  <si>
    <t>% Cooling Peak kW</t>
  </si>
  <si>
    <t>% Electric Heating Peak kW</t>
  </si>
  <si>
    <t>% Cooling kWh Savings</t>
  </si>
  <si>
    <t>% Electric Heating kWh Savings</t>
  </si>
  <si>
    <r>
      <t xml:space="preserve">&gt;60k PTR participants, 5% enrolled in SCTD (thermostat) and 4% enrolled in DLC program.  Plus 4,000 SCTD (43% that did not enroll in PTR were still curtailed but not given rebates).  &gt;50k non-participants.  </t>
    </r>
    <r>
      <rPr>
        <sz val="11"/>
        <color rgb="FFFF0000"/>
        <rFont val="Calibri"/>
        <family val="2"/>
        <scheme val="minor"/>
      </rPr>
      <t>The SCTD sample used was 725.  DR focused on curtailment events.</t>
    </r>
  </si>
  <si>
    <t>CA</t>
  </si>
  <si>
    <t>Cadmus for NIPSCO - Nest</t>
  </si>
  <si>
    <t>4a</t>
  </si>
  <si>
    <t>4b</t>
  </si>
  <si>
    <t>IN</t>
  </si>
  <si>
    <r>
      <t xml:space="preserve">Study not available.  </t>
    </r>
    <r>
      <rPr>
        <sz val="11"/>
        <color rgb="FFFF0000"/>
        <rFont val="Calibri"/>
        <family val="2"/>
        <scheme val="minor"/>
      </rPr>
      <t>400 Nest + 400 Honeywell programmable.</t>
    </r>
  </si>
  <si>
    <r>
      <rPr>
        <sz val="11"/>
        <color rgb="FFFF0000"/>
        <rFont val="Calibri"/>
        <family val="2"/>
        <scheme val="minor"/>
      </rPr>
      <t>300 Nest, 300 programmable</t>
    </r>
    <r>
      <rPr>
        <sz val="11"/>
        <color theme="1"/>
        <rFont val="Calibri"/>
        <family val="2"/>
        <scheme val="minor"/>
      </rPr>
      <t>, 3,845 non-partiicpants with manual thermostats.</t>
    </r>
  </si>
  <si>
    <t>5a</t>
  </si>
  <si>
    <t>5b</t>
  </si>
  <si>
    <t>Cadmus for Vectren - Nest</t>
  </si>
  <si>
    <t>notes</t>
  </si>
  <si>
    <t>NH</t>
  </si>
  <si>
    <t>Venstar</t>
  </si>
  <si>
    <t>Average 8% (6-10%) reduction in total gas usage. [90% Confidence intervals] - Venstar ColorTouch</t>
  </si>
  <si>
    <t>Cadmus for Liberty Utilities - Venstar</t>
  </si>
  <si>
    <t>Navigant for ComEd/ILSAG - Nest</t>
  </si>
  <si>
    <t>IL</t>
  </si>
  <si>
    <t>Navigant for ILSAG - Nest NC vs programmable</t>
  </si>
  <si>
    <t>Navigant for ILSAG - Nest Direct Install vs manual</t>
  </si>
  <si>
    <t>8a</t>
  </si>
  <si>
    <t>8b</t>
  </si>
  <si>
    <t>subset of 2118</t>
  </si>
  <si>
    <t>FL</t>
  </si>
  <si>
    <t>MA</t>
  </si>
  <si>
    <t>FSEC for Florida - Nest</t>
  </si>
  <si>
    <t>Itron for FPL - Nest for SF Res</t>
  </si>
  <si>
    <t>10a</t>
  </si>
  <si>
    <t>Itron for FPL - Nest for MF/Villa Res</t>
  </si>
  <si>
    <t>10b</t>
  </si>
  <si>
    <t>10c</t>
  </si>
  <si>
    <t>Itron for FPL - Nest All</t>
  </si>
  <si>
    <t>Summer Peak kW 4-5pm</t>
  </si>
  <si>
    <t>NY</t>
  </si>
  <si>
    <t>Cadmus for ConEd - 3.3% of total kWh usage</t>
  </si>
  <si>
    <t>WA/OR/ID</t>
  </si>
  <si>
    <t>WA</t>
  </si>
  <si>
    <t>Nest, Honeywell, Ecobee, Schneider Elec</t>
  </si>
  <si>
    <t xml:space="preserve">Heating (Electric or Natural Gas) FAF = 6% (Nest)
Cooling (CAC only) 6%, since cooling loads are smaller
Heat Pumps (El Heat) = 14%
Heat Pumps (El Cool) = 6% (since cooling loads are smaller)
</t>
  </si>
  <si>
    <t>ClearResult for BPA - Nest</t>
  </si>
  <si>
    <t>RTF Metta Analysis - Multiple</t>
  </si>
  <si>
    <t xml:space="preserve">Bill analysis.  Literature review,  Customer survey. </t>
  </si>
  <si>
    <t xml:space="preserve">kWh/square foot, </t>
  </si>
  <si>
    <t>12% electric heating &amp; cooling savings from heat pumps.
Average savings ranges between 745 and 955 kWh</t>
  </si>
  <si>
    <t>Summer Peak kW 4-5pm (subset of 101)</t>
  </si>
  <si>
    <t>Summer Peak kW 4-5pm (remainder from 101 - above)</t>
  </si>
  <si>
    <t>12% for heating and cooling load.  Heat Pumps study only</t>
  </si>
  <si>
    <t>heat pumps</t>
  </si>
  <si>
    <t>natural gas</t>
  </si>
  <si>
    <t>Peak kW is for summer 1-5pm CT (PJM); peak kW and elec heating savings not part of presentation…</t>
  </si>
  <si>
    <t>Cadmus ConEd Thermostats Study Dec. 2016</t>
  </si>
  <si>
    <t>Nexant for SCE 2013 - Nest and EnergyHub</t>
  </si>
  <si>
    <t>Nexant for SCE 2014 - Nest and EnergyHub</t>
  </si>
  <si>
    <t>ADM Associates for NV Energy - Ecofactor</t>
  </si>
  <si>
    <t>Cadmus for National Grid - Ecobee</t>
  </si>
  <si>
    <t>Power System Engineering for MVEC - Unknown</t>
  </si>
  <si>
    <t>MN</t>
  </si>
  <si>
    <t>0.67-0.86 kW for summer 2013</t>
  </si>
  <si>
    <t>Nexant for CPS Energy - Nest</t>
  </si>
  <si>
    <t>TX</t>
  </si>
  <si>
    <t>1.2 kW/thermostat summer 2012</t>
  </si>
  <si>
    <t>NV</t>
  </si>
  <si>
    <t>Earth Networks for Centerpoint Energy - Radio Networks</t>
  </si>
  <si>
    <t>123 thermostats in 86 households; 16%/thermo for combined elec (cool + heat) savings; 10% /therostat for heat</t>
  </si>
  <si>
    <t>Nexant for PG&amp;E - Honeywell Programmable w/ Opower Software</t>
  </si>
  <si>
    <t>DR Program 0.75 kW/thermostat;  non-holiday weekdays between 2 to 6 PM</t>
  </si>
  <si>
    <t>DR Program 0.60 kW/thermostat;  non-holiday weekdays between 2 to 6 PM</t>
  </si>
  <si>
    <t>% Total kWh Usage</t>
  </si>
  <si>
    <t xml:space="preserve">Advanced programmable thermostat </t>
  </si>
  <si>
    <t>total</t>
  </si>
  <si>
    <t>low end</t>
  </si>
  <si>
    <t>high end</t>
  </si>
  <si>
    <t xml:space="preserve"> 4kW per home and 2.7kW per thermostat</t>
  </si>
  <si>
    <t>Potential Study - 2.37 kW, 585 kWh; 18 therms /household; 1.48 thermostats/home</t>
  </si>
  <si>
    <t>0.71 kW/thermostat summer 2014; 0.74 kW/home; avg of 1.04 thermostats/home; 1.41kWh/household</t>
  </si>
  <si>
    <t>Connected</t>
  </si>
  <si>
    <t>Study#</t>
  </si>
  <si>
    <t>2a (Nest)</t>
  </si>
  <si>
    <t>Heat Pump kWh</t>
  </si>
  <si>
    <t>% Electric Heating  (kWh)</t>
  </si>
  <si>
    <t>% Fuel Heating (therms)</t>
  </si>
  <si>
    <t>% Cooling (kWh)</t>
  </si>
  <si>
    <t>% Cooling (kW)</t>
  </si>
  <si>
    <t xml:space="preserve">1 (Nest) </t>
  </si>
  <si>
    <t xml:space="preserve">3 (Ecobee) </t>
  </si>
  <si>
    <t>properly trained on how to use Nest and programmable thermostat (thus "programmed")</t>
  </si>
  <si>
    <t>properly trained on how to use Nest</t>
  </si>
  <si>
    <t>4a (Nest)</t>
  </si>
  <si>
    <t>4b (Nest)</t>
  </si>
  <si>
    <t>5a (Nest)</t>
  </si>
  <si>
    <t>5b (Nest)</t>
  </si>
  <si>
    <t>This number was not constant due to ever-changing # of participants.  Note there was kW snapback after DR event was over…</t>
  </si>
  <si>
    <t>6 (Venstar)</t>
  </si>
  <si>
    <t xml:space="preserve">29 homes (32 thermostats).  Study reports savings of 8% of total gas usa ge.  Space heating specific savings not in report.  According to EIA REC, average home in Northeast consumes 71.4MMBtus annually for space heating and 17MMBtu for water heating.   Thus we calculated space heating savings to be 9.9% [=(.08*(71.4+17)/71.4).  https://www.eia.gov/consumption/residential/data/2009/index.php?view=consumption#end-use    </t>
  </si>
  <si>
    <t>7 (Nest)</t>
  </si>
  <si>
    <t>8c</t>
  </si>
  <si>
    <t>8a (Nest)</t>
  </si>
  <si>
    <t>8b (Nest)</t>
  </si>
  <si>
    <t>8c (Nest)</t>
  </si>
  <si>
    <t>Nest (w/ 2 Hwell Lyric)</t>
  </si>
  <si>
    <t>9 (Nest)</t>
  </si>
  <si>
    <t>10c (Nest)</t>
  </si>
  <si>
    <t>11 (Hwell Z-Wave/Opower)</t>
  </si>
  <si>
    <t>2b (Hwell Lyric)</t>
  </si>
  <si>
    <t>11 (H'well Z-Wave/Opower)</t>
  </si>
  <si>
    <t>Compared DLC customers with connected programmable thermostats to DLC customers with non-connected thermostats.</t>
  </si>
  <si>
    <t xml:space="preserve">Southern California Gas </t>
  </si>
  <si>
    <t>therms</t>
  </si>
  <si>
    <t>10.2% of heating consumption compared to random contol group.</t>
  </si>
  <si>
    <t>Trial of randomly selected opt in treatment and control homes.</t>
  </si>
  <si>
    <t>X</t>
  </si>
  <si>
    <t>TBD</t>
  </si>
  <si>
    <t>Navigant for SoCal Gas</t>
  </si>
  <si>
    <t>12 (Nest)</t>
  </si>
  <si>
    <t xml:space="preserve">High </t>
  </si>
  <si>
    <t>Low</t>
  </si>
  <si>
    <t>Average</t>
  </si>
  <si>
    <t>Best Guess</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</si>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</sst>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
    <numFmt numFmtId="167" formatCode="_(* #,##0.0_);_(* \(#,##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sz val="9"/>
      <color rgb="FFFFFFFF"/>
      <name val="Arial"/>
      <family val="2"/>
    </font>
    <font>
      <sz val="9"/>
      <color theme="1"/>
      <name val="Arial"/>
      <family val="2"/>
    </font>
    <font>
      <b/>
      <sz val="14"/>
      <color theme="1"/>
      <name val="Calibri"/>
      <family val="2"/>
      <scheme val="minor"/>
    </font>
    <font>
      <sz val="11"/>
      <color rgb="FFFF0000"/>
      <name val="Calibri"/>
      <family val="2"/>
      <scheme val="minor"/>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17365D"/>
        <bgColor indexed="64"/>
      </patternFill>
    </fill>
    <fill>
      <patternFill patternType="solid">
        <fgColor rgb="FF7030A0"/>
        <bgColor indexed="64"/>
      </patternFill>
    </fill>
    <fill>
      <patternFill patternType="solid">
        <fgColor rgb="FFFFC000"/>
        <bgColor indexed="64"/>
      </patternFill>
    </fill>
    <fill>
      <patternFill patternType="solid">
        <fgColor rgb="FF99FF33"/>
        <bgColor indexed="64"/>
      </patternFill>
    </fill>
    <fill>
      <patternFill patternType="solid">
        <fgColor rgb="FF66FFFF"/>
        <bgColor indexed="64"/>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0" fontId="0" fillId="0" borderId="0" xfId="0" applyAlignment="1">
      <alignment horizontal="left" vertical="top" wrapText="1"/>
    </xf>
    <xf numFmtId="9" fontId="0" fillId="0" borderId="0" xfId="1" applyFont="1" applyAlignment="1">
      <alignment horizontal="left"/>
    </xf>
    <xf numFmtId="164" fontId="0" fillId="0" borderId="0" xfId="2" applyNumberFormat="1" applyFont="1"/>
    <xf numFmtId="0" fontId="0" fillId="0" borderId="0" xfId="0" applyFill="1"/>
    <xf numFmtId="164" fontId="0" fillId="0" borderId="0" xfId="2" applyNumberFormat="1" applyFont="1" applyFill="1"/>
    <xf numFmtId="0" fontId="2" fillId="0" borderId="0" xfId="0" applyFont="1" applyAlignment="1">
      <alignment wrapText="1"/>
    </xf>
    <xf numFmtId="0" fontId="5" fillId="4" borderId="1" xfId="0" applyFont="1" applyFill="1" applyBorder="1"/>
    <xf numFmtId="0" fontId="2" fillId="4" borderId="1" xfId="0" applyFont="1" applyFill="1" applyBorder="1" applyAlignment="1">
      <alignment horizontal="center" wrapText="1"/>
    </xf>
    <xf numFmtId="165" fontId="0" fillId="0" borderId="1" xfId="0" applyNumberFormat="1" applyBorder="1"/>
    <xf numFmtId="0" fontId="0" fillId="0" borderId="0" xfId="0" applyNumberFormat="1"/>
    <xf numFmtId="49" fontId="0" fillId="0" borderId="0" xfId="0" applyNumberFormat="1"/>
    <xf numFmtId="165" fontId="0" fillId="0" borderId="0" xfId="0" applyNumberFormat="1"/>
    <xf numFmtId="0" fontId="5" fillId="0" borderId="0" xfId="0" applyFont="1" applyFill="1" applyBorder="1" applyAlignment="1">
      <alignment horizontal="right"/>
    </xf>
    <xf numFmtId="165" fontId="0" fillId="2" borderId="1" xfId="0" applyNumberFormat="1" applyFill="1" applyBorder="1"/>
    <xf numFmtId="0" fontId="0" fillId="0" borderId="0" xfId="0" applyAlignment="1"/>
    <xf numFmtId="0" fontId="0" fillId="0" borderId="0" xfId="0" applyFill="1" applyBorder="1" applyAlignment="1"/>
    <xf numFmtId="0" fontId="6" fillId="5" borderId="2" xfId="0" applyFont="1" applyFill="1" applyBorder="1" applyAlignment="1">
      <alignment horizontal="center" vertical="center"/>
    </xf>
    <xf numFmtId="0" fontId="6" fillId="5" borderId="4" xfId="0" applyFont="1" applyFill="1" applyBorder="1" applyAlignment="1">
      <alignment vertical="center"/>
    </xf>
    <xf numFmtId="0" fontId="6" fillId="5" borderId="5" xfId="0" applyFont="1" applyFill="1" applyBorder="1" applyAlignment="1">
      <alignment horizontal="center" vertical="center"/>
    </xf>
    <xf numFmtId="0" fontId="7" fillId="0" borderId="4" xfId="0" applyFont="1" applyBorder="1" applyAlignment="1">
      <alignment vertical="center"/>
    </xf>
    <xf numFmtId="3" fontId="7" fillId="0" borderId="5" xfId="0" applyNumberFormat="1" applyFont="1" applyBorder="1" applyAlignment="1">
      <alignment horizontal="right" vertical="center"/>
    </xf>
    <xf numFmtId="0" fontId="7" fillId="0" borderId="5" xfId="0" applyFont="1" applyBorder="1" applyAlignment="1">
      <alignment horizontal="right" vertical="center"/>
    </xf>
    <xf numFmtId="166" fontId="7" fillId="0" borderId="5" xfId="0" applyNumberFormat="1" applyFont="1" applyBorder="1" applyAlignment="1">
      <alignment horizontal="right" vertical="center"/>
    </xf>
    <xf numFmtId="0" fontId="6" fillId="6" borderId="5" xfId="0" applyFont="1" applyFill="1" applyBorder="1" applyAlignment="1">
      <alignment horizontal="center" vertical="center"/>
    </xf>
    <xf numFmtId="1" fontId="0" fillId="0" borderId="0" xfId="0" applyNumberFormat="1"/>
    <xf numFmtId="1" fontId="0" fillId="2" borderId="0" xfId="0" applyNumberFormat="1" applyFill="1"/>
    <xf numFmtId="0" fontId="0" fillId="2" borderId="0" xfId="0" applyFill="1" applyBorder="1" applyAlignment="1"/>
    <xf numFmtId="0" fontId="2" fillId="0" borderId="0" xfId="0" applyFont="1" applyFill="1" applyBorder="1" applyAlignment="1"/>
    <xf numFmtId="0" fontId="5" fillId="4" borderId="1" xfId="0" applyFont="1" applyFill="1" applyBorder="1" applyAlignment="1">
      <alignment vertical="top"/>
    </xf>
    <xf numFmtId="165" fontId="0" fillId="0" borderId="1" xfId="0" applyNumberFormat="1" applyFill="1" applyBorder="1"/>
    <xf numFmtId="0" fontId="5" fillId="3" borderId="1" xfId="0" applyFont="1" applyFill="1" applyBorder="1"/>
    <xf numFmtId="9" fontId="0" fillId="0" borderId="0" xfId="1" applyFont="1"/>
    <xf numFmtId="0" fontId="0" fillId="0" borderId="10" xfId="0" applyFont="1" applyFill="1" applyBorder="1" applyAlignment="1">
      <alignment horizontal="left"/>
    </xf>
    <xf numFmtId="0" fontId="2" fillId="0" borderId="0" xfId="0" applyFont="1" applyFill="1"/>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vertical="top" wrapText="1"/>
    </xf>
    <xf numFmtId="15" fontId="0" fillId="0" borderId="0" xfId="0" applyNumberFormat="1" applyFill="1" applyAlignment="1">
      <alignment horizontal="left" vertical="top" wrapText="1"/>
    </xf>
    <xf numFmtId="0" fontId="0" fillId="0" borderId="0" xfId="0" applyFont="1" applyFill="1" applyAlignment="1">
      <alignment horizontal="justify" vertical="center"/>
    </xf>
    <xf numFmtId="0" fontId="0" fillId="0" borderId="0" xfId="0" quotePrefix="1" applyFill="1" applyAlignment="1">
      <alignment vertical="top" wrapText="1"/>
    </xf>
    <xf numFmtId="9" fontId="0" fillId="0" borderId="0" xfId="1" applyFont="1" applyFill="1" applyAlignment="1">
      <alignment horizontal="left" vertical="top" wrapText="1"/>
    </xf>
    <xf numFmtId="0" fontId="2" fillId="0" borderId="0" xfId="0" applyFont="1" applyFill="1" applyAlignment="1">
      <alignment horizontal="left" vertical="top" wrapText="1"/>
    </xf>
    <xf numFmtId="0" fontId="0" fillId="0" borderId="0" xfId="0" quotePrefix="1" applyAlignment="1">
      <alignment horizontal="left" vertical="top" wrapText="1"/>
    </xf>
    <xf numFmtId="0" fontId="0" fillId="0" borderId="0" xfId="0" applyAlignment="1">
      <alignment vertical="top" wrapText="1"/>
    </xf>
    <xf numFmtId="1" fontId="0" fillId="0" borderId="0" xfId="2" applyNumberFormat="1" applyFont="1" applyAlignment="1">
      <alignment horizontal="left" vertical="top" wrapText="1"/>
    </xf>
    <xf numFmtId="0" fontId="2" fillId="0" borderId="0" xfId="0" applyFont="1"/>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165" fontId="0" fillId="0" borderId="0" xfId="0" applyNumberFormat="1" applyAlignment="1">
      <alignment horizontal="center"/>
    </xf>
    <xf numFmtId="165" fontId="2" fillId="0" borderId="0" xfId="0" applyNumberFormat="1" applyFont="1" applyAlignment="1">
      <alignment horizontal="center"/>
    </xf>
    <xf numFmtId="165" fontId="2" fillId="0" borderId="0" xfId="0" applyNumberFormat="1" applyFont="1" applyAlignment="1">
      <alignment horizontal="center" wrapText="1"/>
    </xf>
    <xf numFmtId="165" fontId="0" fillId="7" borderId="1" xfId="0" applyNumberFormat="1" applyFill="1" applyBorder="1"/>
    <xf numFmtId="165" fontId="0" fillId="8" borderId="0" xfId="0" applyNumberFormat="1" applyFill="1" applyAlignment="1">
      <alignment horizontal="center"/>
    </xf>
    <xf numFmtId="165" fontId="0" fillId="9" borderId="0" xfId="0" applyNumberFormat="1" applyFill="1" applyAlignment="1">
      <alignment horizontal="center"/>
    </xf>
    <xf numFmtId="0" fontId="10" fillId="0" borderId="0" xfId="0" applyFont="1"/>
    <xf numFmtId="165" fontId="0" fillId="7" borderId="0" xfId="0" applyNumberFormat="1" applyFill="1" applyAlignment="1">
      <alignment horizontal="center"/>
    </xf>
    <xf numFmtId="165" fontId="0" fillId="0" borderId="0" xfId="0" applyNumberFormat="1" applyFill="1" applyAlignment="1">
      <alignment horizontal="center"/>
    </xf>
    <xf numFmtId="0" fontId="0" fillId="0" borderId="0" xfId="0" applyFill="1" applyAlignment="1">
      <alignment horizontal="center"/>
    </xf>
    <xf numFmtId="0" fontId="0" fillId="0" borderId="0" xfId="0" applyAlignment="1">
      <alignment horizontal="right"/>
    </xf>
    <xf numFmtId="9" fontId="0" fillId="0" borderId="0" xfId="1" applyFont="1" applyAlignment="1">
      <alignment horizontal="center"/>
    </xf>
    <xf numFmtId="3" fontId="0" fillId="0" borderId="0" xfId="0" applyNumberFormat="1" applyAlignment="1">
      <alignment horizontal="center"/>
    </xf>
    <xf numFmtId="3" fontId="2" fillId="0" borderId="0" xfId="0" applyNumberFormat="1" applyFont="1" applyAlignment="1">
      <alignment horizontal="center" wrapText="1"/>
    </xf>
    <xf numFmtId="3" fontId="0" fillId="2" borderId="0" xfId="0" applyNumberFormat="1" applyFill="1" applyAlignment="1">
      <alignment horizontal="center"/>
    </xf>
    <xf numFmtId="3" fontId="0" fillId="0" borderId="0" xfId="0" applyNumberFormat="1" applyFill="1" applyAlignment="1">
      <alignment horizontal="center"/>
    </xf>
    <xf numFmtId="0" fontId="0" fillId="0" borderId="0" xfId="0" applyFont="1" applyAlignment="1">
      <alignment horizontal="center" vertical="center"/>
    </xf>
    <xf numFmtId="165" fontId="0" fillId="0" borderId="0" xfId="0" applyNumberFormat="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165" fontId="0" fillId="0" borderId="0" xfId="0" applyNumberFormat="1" applyAlignment="1">
      <alignment vertical="center"/>
    </xf>
    <xf numFmtId="0" fontId="2" fillId="0" borderId="0" xfId="0" applyFont="1" applyAlignment="1">
      <alignment vertical="center"/>
    </xf>
    <xf numFmtId="3" fontId="0" fillId="0" borderId="0" xfId="0" applyNumberFormat="1" applyAlignment="1">
      <alignment vertical="center"/>
    </xf>
    <xf numFmtId="0" fontId="0" fillId="0" borderId="0" xfId="0" applyFont="1" applyAlignment="1">
      <alignment vertical="center"/>
    </xf>
    <xf numFmtId="165" fontId="0" fillId="0" borderId="0" xfId="0" applyNumberFormat="1" applyFont="1" applyAlignment="1">
      <alignment horizontal="center"/>
    </xf>
    <xf numFmtId="165" fontId="0" fillId="0" borderId="0" xfId="0" applyNumberFormat="1" applyFont="1" applyAlignment="1">
      <alignment vertical="center"/>
    </xf>
    <xf numFmtId="0" fontId="8" fillId="0" borderId="0" xfId="0" applyFont="1" applyAlignment="1">
      <alignment vertical="center"/>
    </xf>
    <xf numFmtId="10" fontId="0" fillId="0" borderId="0" xfId="0" applyNumberFormat="1" applyFill="1" applyAlignment="1">
      <alignment horizontal="left" vertical="top" wrapText="1"/>
    </xf>
    <xf numFmtId="167" fontId="0" fillId="0" borderId="0" xfId="2" applyNumberFormat="1" applyFont="1"/>
    <xf numFmtId="167" fontId="0" fillId="0" borderId="0" xfId="2" applyNumberFormat="1" applyFont="1" applyAlignment="1">
      <alignment horizontal="center"/>
    </xf>
    <xf numFmtId="0" fontId="0" fillId="10" borderId="0" xfId="0" applyFill="1"/>
    <xf numFmtId="167" fontId="0" fillId="10" borderId="0" xfId="2" applyNumberFormat="1" applyFont="1" applyFill="1"/>
    <xf numFmtId="167" fontId="0" fillId="10" borderId="0" xfId="2" applyNumberFormat="1" applyFont="1" applyFill="1" applyAlignment="1">
      <alignment horizontal="center"/>
    </xf>
    <xf numFmtId="0" fontId="5" fillId="4" borderId="7" xfId="0" applyFont="1" applyFill="1" applyBorder="1" applyAlignment="1">
      <alignment vertical="top"/>
    </xf>
    <xf numFmtId="0" fontId="5" fillId="4" borderId="8" xfId="0" applyFont="1" applyFill="1" applyBorder="1" applyAlignment="1">
      <alignment vertical="top"/>
    </xf>
    <xf numFmtId="0" fontId="5" fillId="4" borderId="9" xfId="0" applyFont="1" applyFill="1" applyBorder="1" applyAlignment="1">
      <alignment vertical="top"/>
    </xf>
    <xf numFmtId="0" fontId="6" fillId="5" borderId="6" xfId="0" applyFont="1" applyFill="1" applyBorder="1" applyAlignment="1">
      <alignment horizontal="center" vertical="center"/>
    </xf>
    <xf numFmtId="0" fontId="6" fillId="5" borderId="3" xfId="0" applyFont="1" applyFill="1" applyBorder="1" applyAlignment="1">
      <alignment horizontal="center" vertical="center"/>
    </xf>
    <xf numFmtId="0" fontId="2" fillId="4" borderId="1" xfId="0" applyFont="1" applyFill="1" applyBorder="1" applyAlignment="1">
      <alignment vertical="top" wrapText="1"/>
    </xf>
    <xf numFmtId="0" fontId="5" fillId="3" borderId="7" xfId="0" applyFont="1" applyFill="1" applyBorder="1" applyAlignment="1">
      <alignment vertical="top"/>
    </xf>
    <xf numFmtId="0" fontId="5" fillId="3" borderId="8" xfId="0" applyFont="1" applyFill="1" applyBorder="1" applyAlignment="1">
      <alignment vertical="top"/>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2" fillId="3" borderId="1" xfId="0" applyFont="1" applyFill="1" applyBorder="1" applyAlignment="1">
      <alignment vertical="top"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9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182880</xdr:colOff>
      <xdr:row>2</xdr:row>
      <xdr:rowOff>160020</xdr:rowOff>
    </xdr:from>
    <xdr:to>
      <xdr:col>34</xdr:col>
      <xdr:colOff>236220</xdr:colOff>
      <xdr:row>24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14980" y="571500"/>
          <a:ext cx="7368540" cy="398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zoomScale="85" zoomScaleNormal="85" workbookViewId="0">
      <pane ySplit="1" topLeftCell="A2" activePane="bottomLeft" state="frozen"/>
      <selection pane="bottomLeft" activeCell="D21" sqref="D21"/>
    </sheetView>
  </sheetViews>
  <sheetFormatPr defaultRowHeight="15" x14ac:dyDescent="0.25"/>
  <cols>
    <col min="1" max="1" width="8.85546875" style="49"/>
    <col min="2" max="2" width="19.7109375" customWidth="1"/>
    <col min="3" max="3" width="15.85546875" customWidth="1"/>
    <col min="4" max="4" width="11" customWidth="1"/>
    <col min="5" max="5" width="14" customWidth="1"/>
    <col min="6" max="6" width="28.42578125" customWidth="1"/>
    <col min="7" max="7" width="12.85546875" customWidth="1"/>
    <col min="8" max="8" width="28.85546875" customWidth="1"/>
    <col min="9" max="9" width="32.7109375" customWidth="1"/>
    <col min="10" max="10" width="26.85546875" customWidth="1"/>
    <col min="11" max="11" width="12.5703125" customWidth="1"/>
  </cols>
  <sheetData>
    <row r="1" spans="1:21" s="4" customFormat="1" x14ac:dyDescent="0.25">
      <c r="A1" s="48" t="s">
        <v>189</v>
      </c>
      <c r="B1" s="34" t="s">
        <v>6</v>
      </c>
      <c r="C1" s="34" t="s">
        <v>5</v>
      </c>
      <c r="D1" s="34" t="s">
        <v>27</v>
      </c>
      <c r="E1" s="34" t="s">
        <v>15</v>
      </c>
      <c r="F1" s="34" t="s">
        <v>3</v>
      </c>
      <c r="G1" s="34" t="s">
        <v>10</v>
      </c>
      <c r="H1" s="34" t="s">
        <v>11</v>
      </c>
      <c r="I1" s="34" t="s">
        <v>7</v>
      </c>
      <c r="J1" s="34" t="s">
        <v>13</v>
      </c>
      <c r="K1" s="34" t="s">
        <v>177</v>
      </c>
    </row>
    <row r="2" spans="1:21" s="4" customFormat="1" ht="150" x14ac:dyDescent="0.25">
      <c r="A2" s="48">
        <v>1</v>
      </c>
      <c r="B2" s="35" t="s">
        <v>1</v>
      </c>
      <c r="C2" s="35" t="s">
        <v>2</v>
      </c>
      <c r="D2" s="36">
        <v>2014</v>
      </c>
      <c r="E2" s="38" t="s">
        <v>281</v>
      </c>
      <c r="F2" s="44" t="s">
        <v>30</v>
      </c>
      <c r="G2" s="37" t="s">
        <v>0</v>
      </c>
      <c r="H2" s="37"/>
      <c r="I2" s="38" t="s">
        <v>191</v>
      </c>
      <c r="J2" s="38" t="s">
        <v>196</v>
      </c>
    </row>
    <row r="3" spans="1:21" s="4" customFormat="1" ht="103.9" customHeight="1" x14ac:dyDescent="0.25">
      <c r="A3" s="48">
        <v>2</v>
      </c>
      <c r="B3" s="1" t="s">
        <v>1</v>
      </c>
      <c r="C3" s="1" t="s">
        <v>2</v>
      </c>
      <c r="D3" s="46">
        <v>2016</v>
      </c>
      <c r="E3" s="1" t="s">
        <v>18</v>
      </c>
      <c r="F3" s="44" t="s">
        <v>4</v>
      </c>
      <c r="G3" s="1" t="s">
        <v>25</v>
      </c>
      <c r="H3" s="1" t="s">
        <v>12</v>
      </c>
      <c r="I3" s="1" t="s">
        <v>8</v>
      </c>
      <c r="J3" s="45" t="s">
        <v>197</v>
      </c>
      <c r="K3"/>
      <c r="L3"/>
      <c r="M3"/>
      <c r="N3"/>
      <c r="O3"/>
      <c r="P3"/>
      <c r="Q3"/>
    </row>
    <row r="4" spans="1:21" s="4" customFormat="1" ht="180" x14ac:dyDescent="0.25">
      <c r="A4" s="48">
        <v>3</v>
      </c>
      <c r="B4" s="35" t="s">
        <v>9</v>
      </c>
      <c r="C4" s="35" t="s">
        <v>14</v>
      </c>
      <c r="D4" s="35">
        <v>2015</v>
      </c>
      <c r="E4" s="35" t="s">
        <v>16</v>
      </c>
      <c r="F4" s="35" t="s">
        <v>19</v>
      </c>
      <c r="G4" s="35" t="s">
        <v>17</v>
      </c>
      <c r="H4" s="35" t="s">
        <v>90</v>
      </c>
      <c r="I4" s="35" t="s">
        <v>20</v>
      </c>
      <c r="J4" s="38" t="s">
        <v>203</v>
      </c>
    </row>
    <row r="5" spans="1:21" s="4" customFormat="1" ht="192" customHeight="1" x14ac:dyDescent="0.25">
      <c r="A5" s="48">
        <v>4</v>
      </c>
      <c r="B5" s="35" t="s">
        <v>26</v>
      </c>
      <c r="C5" s="35" t="s">
        <v>22</v>
      </c>
      <c r="D5" s="35">
        <v>2015</v>
      </c>
      <c r="E5" s="35" t="s">
        <v>23</v>
      </c>
      <c r="F5" s="38" t="s">
        <v>36</v>
      </c>
      <c r="G5" s="35" t="s">
        <v>24</v>
      </c>
      <c r="H5" s="35" t="s">
        <v>28</v>
      </c>
      <c r="I5" s="35" t="s">
        <v>29</v>
      </c>
      <c r="J5" s="35" t="s">
        <v>209</v>
      </c>
    </row>
    <row r="6" spans="1:21" s="4" customFormat="1" ht="195" x14ac:dyDescent="0.25">
      <c r="A6" s="48">
        <v>5</v>
      </c>
      <c r="B6" s="35" t="s">
        <v>21</v>
      </c>
      <c r="C6" s="35" t="s">
        <v>22</v>
      </c>
      <c r="D6" s="39">
        <v>2015</v>
      </c>
      <c r="E6" s="35" t="s">
        <v>23</v>
      </c>
      <c r="F6" s="40" t="s">
        <v>35</v>
      </c>
      <c r="G6" s="35" t="s">
        <v>24</v>
      </c>
      <c r="H6" s="35" t="s">
        <v>28</v>
      </c>
      <c r="I6" s="35" t="s">
        <v>29</v>
      </c>
      <c r="J6" s="35" t="s">
        <v>210</v>
      </c>
    </row>
    <row r="7" spans="1:21" s="4" customFormat="1" ht="70.900000000000006" customHeight="1" x14ac:dyDescent="0.25">
      <c r="A7" s="48">
        <v>6</v>
      </c>
      <c r="B7" s="35" t="s">
        <v>31</v>
      </c>
      <c r="C7" s="35" t="s">
        <v>22</v>
      </c>
      <c r="D7" s="35">
        <v>2013</v>
      </c>
      <c r="E7" s="35" t="s">
        <v>32</v>
      </c>
      <c r="F7" s="35" t="s">
        <v>217</v>
      </c>
      <c r="G7" s="35" t="s">
        <v>216</v>
      </c>
      <c r="H7" s="35" t="s">
        <v>151</v>
      </c>
      <c r="I7" s="35" t="s">
        <v>33</v>
      </c>
      <c r="J7" s="41" t="s">
        <v>34</v>
      </c>
    </row>
    <row r="8" spans="1:21" s="4" customFormat="1" ht="60" x14ac:dyDescent="0.25">
      <c r="A8" s="48">
        <v>7</v>
      </c>
      <c r="B8" s="35" t="s">
        <v>76</v>
      </c>
      <c r="C8" s="35" t="s">
        <v>37</v>
      </c>
      <c r="D8" s="35">
        <v>2016</v>
      </c>
      <c r="E8" s="35" t="s">
        <v>38</v>
      </c>
      <c r="F8" s="35" t="s">
        <v>48</v>
      </c>
      <c r="G8" s="35" t="s">
        <v>0</v>
      </c>
      <c r="H8" s="35" t="s">
        <v>39</v>
      </c>
      <c r="I8" s="35" t="s">
        <v>40</v>
      </c>
      <c r="J8" s="35" t="s">
        <v>41</v>
      </c>
    </row>
    <row r="9" spans="1:21" s="4" customFormat="1" ht="101.45" customHeight="1" x14ac:dyDescent="0.25">
      <c r="A9" s="48">
        <v>8</v>
      </c>
      <c r="B9" s="35" t="s">
        <v>77</v>
      </c>
      <c r="C9" s="35" t="s">
        <v>37</v>
      </c>
      <c r="D9" s="35">
        <v>2015</v>
      </c>
      <c r="E9" s="35" t="s">
        <v>75</v>
      </c>
      <c r="F9" s="35" t="s">
        <v>115</v>
      </c>
      <c r="G9" s="35" t="s">
        <v>0</v>
      </c>
      <c r="H9" s="35" t="s">
        <v>79</v>
      </c>
      <c r="I9" s="35" t="s">
        <v>40</v>
      </c>
      <c r="J9" s="35" t="s">
        <v>78</v>
      </c>
    </row>
    <row r="10" spans="1:21" s="4" customFormat="1" ht="75" x14ac:dyDescent="0.25">
      <c r="A10" s="48">
        <v>9</v>
      </c>
      <c r="B10" s="35" t="s">
        <v>53</v>
      </c>
      <c r="C10" s="35" t="s">
        <v>55</v>
      </c>
      <c r="D10" s="35">
        <v>2016</v>
      </c>
      <c r="E10" s="35" t="s">
        <v>56</v>
      </c>
      <c r="F10" s="42" t="s">
        <v>49</v>
      </c>
      <c r="G10" s="35" t="s">
        <v>302</v>
      </c>
      <c r="H10" s="35" t="s">
        <v>51</v>
      </c>
      <c r="I10" s="35" t="s">
        <v>50</v>
      </c>
      <c r="J10" s="35" t="s">
        <v>52</v>
      </c>
    </row>
    <row r="11" spans="1:21" s="4" customFormat="1" ht="90" x14ac:dyDescent="0.25">
      <c r="A11" s="48">
        <v>10</v>
      </c>
      <c r="B11" s="35" t="s">
        <v>54</v>
      </c>
      <c r="C11" s="35" t="s">
        <v>14</v>
      </c>
      <c r="D11" s="35">
        <v>2015</v>
      </c>
      <c r="E11" s="35" t="s">
        <v>56</v>
      </c>
      <c r="F11" s="42" t="s">
        <v>57</v>
      </c>
      <c r="G11" s="35" t="s">
        <v>0</v>
      </c>
      <c r="H11" s="35" t="s">
        <v>59</v>
      </c>
      <c r="I11" s="35"/>
      <c r="J11" s="35" t="s">
        <v>58</v>
      </c>
    </row>
    <row r="12" spans="1:21" s="4" customFormat="1" ht="105" x14ac:dyDescent="0.25">
      <c r="A12" s="48">
        <v>11</v>
      </c>
      <c r="B12" s="35" t="s">
        <v>61</v>
      </c>
      <c r="C12" s="35" t="s">
        <v>60</v>
      </c>
      <c r="D12" s="35">
        <v>2014</v>
      </c>
      <c r="E12" s="35" t="s">
        <v>66</v>
      </c>
      <c r="F12" s="35" t="s">
        <v>65</v>
      </c>
      <c r="G12" s="35" t="s">
        <v>63</v>
      </c>
      <c r="H12" s="35" t="s">
        <v>62</v>
      </c>
      <c r="I12" s="35" t="s">
        <v>64</v>
      </c>
      <c r="J12" s="35" t="s">
        <v>89</v>
      </c>
    </row>
    <row r="13" spans="1:21" s="4" customFormat="1" ht="103.15" customHeight="1" x14ac:dyDescent="0.25">
      <c r="A13" s="48" t="s">
        <v>313</v>
      </c>
      <c r="B13" s="1" t="s">
        <v>168</v>
      </c>
      <c r="C13" s="1" t="s">
        <v>22</v>
      </c>
      <c r="D13" s="1">
        <v>2016</v>
      </c>
      <c r="E13" s="1" t="s">
        <v>96</v>
      </c>
      <c r="F13" s="1" t="s">
        <v>186</v>
      </c>
      <c r="G13" s="1"/>
      <c r="H13" s="1" t="s">
        <v>308</v>
      </c>
      <c r="I13" s="1" t="s">
        <v>244</v>
      </c>
      <c r="J13" s="1" t="s">
        <v>169</v>
      </c>
      <c r="K13"/>
      <c r="L13"/>
      <c r="M13"/>
      <c r="N13"/>
      <c r="O13"/>
      <c r="P13"/>
      <c r="Q13"/>
      <c r="R13"/>
      <c r="S13"/>
      <c r="T13"/>
      <c r="U13"/>
    </row>
    <row r="14" spans="1:21" s="4" customFormat="1" ht="135" x14ac:dyDescent="0.25">
      <c r="A14" s="48" t="s">
        <v>313</v>
      </c>
      <c r="B14" s="35" t="s">
        <v>80</v>
      </c>
      <c r="C14" s="35" t="s">
        <v>171</v>
      </c>
      <c r="D14" s="35" t="s">
        <v>81</v>
      </c>
      <c r="E14" s="35" t="s">
        <v>43</v>
      </c>
      <c r="F14" s="35" t="s">
        <v>241</v>
      </c>
      <c r="G14" s="35" t="s">
        <v>170</v>
      </c>
      <c r="H14" s="35" t="s">
        <v>82</v>
      </c>
      <c r="I14" s="35" t="s">
        <v>83</v>
      </c>
      <c r="J14" s="35"/>
    </row>
    <row r="15" spans="1:21" s="4" customFormat="1" ht="150" x14ac:dyDescent="0.25">
      <c r="A15" s="48">
        <v>12</v>
      </c>
      <c r="B15" s="35" t="s">
        <v>84</v>
      </c>
      <c r="C15" s="35" t="s">
        <v>85</v>
      </c>
      <c r="D15" s="35">
        <v>2015</v>
      </c>
      <c r="E15" s="35" t="s">
        <v>245</v>
      </c>
      <c r="F15" s="35" t="s">
        <v>246</v>
      </c>
      <c r="G15" s="35" t="s">
        <v>86</v>
      </c>
      <c r="H15" s="35" t="s">
        <v>88</v>
      </c>
      <c r="I15" s="35" t="s">
        <v>91</v>
      </c>
      <c r="J15" s="35" t="s">
        <v>87</v>
      </c>
    </row>
    <row r="16" spans="1:21" s="4" customFormat="1" ht="45" x14ac:dyDescent="0.25">
      <c r="A16" s="48">
        <v>13</v>
      </c>
      <c r="B16" s="35" t="s">
        <v>309</v>
      </c>
      <c r="C16" s="35" t="s">
        <v>37</v>
      </c>
      <c r="D16" s="35">
        <v>2015</v>
      </c>
      <c r="E16" s="35" t="s">
        <v>310</v>
      </c>
      <c r="F16" s="85" t="s">
        <v>311</v>
      </c>
      <c r="G16" s="35"/>
      <c r="H16" s="35" t="s">
        <v>312</v>
      </c>
      <c r="I16" s="35"/>
      <c r="J16" s="35"/>
    </row>
    <row r="17" spans="1:10" s="4" customFormat="1" x14ac:dyDescent="0.25">
      <c r="A17" s="48"/>
      <c r="B17" s="35"/>
      <c r="C17" s="35"/>
      <c r="D17" s="35"/>
      <c r="E17" s="35"/>
      <c r="F17" s="85"/>
      <c r="G17" s="35"/>
      <c r="H17" s="35"/>
      <c r="I17" s="35"/>
      <c r="J17" s="35"/>
    </row>
    <row r="18" spans="1:10" s="4" customFormat="1" x14ac:dyDescent="0.25">
      <c r="A18" s="48"/>
      <c r="B18" s="35"/>
      <c r="C18" s="35"/>
      <c r="D18" s="35"/>
      <c r="E18" s="35"/>
      <c r="F18" s="85"/>
      <c r="G18" s="35"/>
      <c r="H18" s="35"/>
      <c r="I18" s="35"/>
      <c r="J18" s="35"/>
    </row>
    <row r="19" spans="1:10" s="4" customFormat="1" x14ac:dyDescent="0.25">
      <c r="A19" s="48"/>
      <c r="B19" s="35"/>
      <c r="C19" s="35"/>
      <c r="D19" s="35"/>
      <c r="E19" s="35"/>
      <c r="F19" s="85"/>
      <c r="G19" s="35"/>
      <c r="H19" s="35"/>
      <c r="I19" s="35"/>
      <c r="J19" s="35"/>
    </row>
    <row r="20" spans="1:10" s="4" customFormat="1" x14ac:dyDescent="0.25">
      <c r="A20" s="48"/>
      <c r="B20" s="43" t="s">
        <v>67</v>
      </c>
      <c r="C20" s="35"/>
      <c r="D20" s="35"/>
      <c r="E20" s="35"/>
      <c r="F20" s="35"/>
      <c r="G20" s="35"/>
      <c r="H20" s="35"/>
      <c r="I20" s="35"/>
    </row>
    <row r="21" spans="1:10" s="4" customFormat="1" ht="286.14999999999998" customHeight="1" x14ac:dyDescent="0.25">
      <c r="A21" s="48"/>
      <c r="B21" s="35" t="s">
        <v>42</v>
      </c>
      <c r="C21" s="35" t="s">
        <v>45</v>
      </c>
      <c r="D21" s="35" t="s">
        <v>69</v>
      </c>
      <c r="E21" s="35" t="s">
        <v>43</v>
      </c>
      <c r="F21" s="42" t="s">
        <v>47</v>
      </c>
      <c r="G21" s="35" t="s">
        <v>44</v>
      </c>
      <c r="H21" s="35" t="s">
        <v>46</v>
      </c>
      <c r="I21" s="35" t="s">
        <v>74</v>
      </c>
      <c r="J21" s="35" t="s">
        <v>72</v>
      </c>
    </row>
    <row r="22" spans="1:10" s="4" customFormat="1" ht="75" x14ac:dyDescent="0.25">
      <c r="A22" s="48"/>
      <c r="B22" s="35" t="s">
        <v>68</v>
      </c>
      <c r="C22" s="35" t="s">
        <v>190</v>
      </c>
      <c r="D22" s="35" t="s">
        <v>69</v>
      </c>
      <c r="E22" s="35" t="s">
        <v>70</v>
      </c>
      <c r="F22" s="35" t="s">
        <v>71</v>
      </c>
      <c r="G22" s="35" t="s">
        <v>44</v>
      </c>
      <c r="H22" s="35"/>
      <c r="I22" s="35" t="s">
        <v>73</v>
      </c>
    </row>
    <row r="23" spans="1:10" x14ac:dyDescent="0.25">
      <c r="B23" s="1"/>
      <c r="C23" s="1"/>
      <c r="D23" s="1"/>
      <c r="E23" s="1"/>
      <c r="F23" s="1"/>
      <c r="G23" s="1"/>
      <c r="H23" s="1"/>
      <c r="I23" s="1"/>
    </row>
    <row r="24" spans="1:10" x14ac:dyDescent="0.25">
      <c r="B24" s="1"/>
      <c r="C24" s="1"/>
      <c r="D24" s="1"/>
      <c r="E24" s="1"/>
      <c r="F24" s="1"/>
      <c r="G24" s="1"/>
      <c r="H24" s="1"/>
      <c r="I24" s="1"/>
    </row>
    <row r="25" spans="1:10" x14ac:dyDescent="0.25">
      <c r="B25" s="1"/>
      <c r="C25" s="1"/>
      <c r="D25" s="1"/>
      <c r="E25" s="1"/>
      <c r="F25" s="1"/>
      <c r="G25" s="1"/>
      <c r="H25" s="1"/>
      <c r="I25" s="1"/>
    </row>
    <row r="26" spans="1:10" x14ac:dyDescent="0.25">
      <c r="F26" s="2"/>
      <c r="G26" s="2"/>
    </row>
    <row r="29" spans="1:10" x14ac:dyDescent="0.25">
      <c r="F29" s="3"/>
      <c r="G29" s="3"/>
    </row>
    <row r="30" spans="1:10" x14ac:dyDescent="0.25">
      <c r="F30" s="3"/>
      <c r="G30" s="3"/>
    </row>
    <row r="31" spans="1:10" x14ac:dyDescent="0.25">
      <c r="F31" s="3"/>
      <c r="G31" s="3"/>
    </row>
    <row r="32" spans="1:10" x14ac:dyDescent="0.25">
      <c r="F32" s="3"/>
      <c r="G32" s="3"/>
    </row>
    <row r="33" spans="5:7" x14ac:dyDescent="0.25">
      <c r="F33" s="3"/>
      <c r="G33" s="3"/>
    </row>
    <row r="34" spans="5:7" x14ac:dyDescent="0.25">
      <c r="E34" s="4"/>
      <c r="F34" s="5"/>
      <c r="G34" s="5"/>
    </row>
    <row r="35" spans="5:7" x14ac:dyDescent="0.25">
      <c r="F35" s="3"/>
      <c r="G35" s="3"/>
    </row>
    <row r="36" spans="5:7" x14ac:dyDescent="0.25">
      <c r="F36" s="3"/>
      <c r="G36" s="3"/>
    </row>
    <row r="37" spans="5:7" x14ac:dyDescent="0.25">
      <c r="F37" s="3"/>
      <c r="G37" s="3"/>
    </row>
    <row r="38" spans="5:7" x14ac:dyDescent="0.25">
      <c r="F38" s="3"/>
      <c r="G38" s="3"/>
    </row>
    <row r="39" spans="5:7" x14ac:dyDescent="0.25">
      <c r="F39" s="3"/>
      <c r="G39" s="3"/>
    </row>
    <row r="40" spans="5:7" x14ac:dyDescent="0.25">
      <c r="F40" s="3"/>
      <c r="G40" s="3"/>
    </row>
    <row r="41" spans="5:7" x14ac:dyDescent="0.25">
      <c r="F41" s="3"/>
      <c r="G41" s="3"/>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5"/>
  <sheetViews>
    <sheetView workbookViewId="0">
      <selection activeCell="B2" sqref="B2"/>
    </sheetView>
  </sheetViews>
  <sheetFormatPr defaultRowHeight="15" x14ac:dyDescent="0.25"/>
  <cols>
    <col min="1" max="1" width="19.7109375" style="52" customWidth="1"/>
    <col min="2" max="2" width="54.5703125" customWidth="1"/>
    <col min="3" max="3" width="14.28515625" customWidth="1"/>
    <col min="4" max="4" width="12.42578125" style="54" customWidth="1"/>
    <col min="5" max="5" width="10.28515625" style="54" customWidth="1"/>
    <col min="6" max="6" width="12.42578125" style="54" customWidth="1"/>
    <col min="7" max="7" width="10.28515625" style="54" customWidth="1"/>
    <col min="8" max="8" width="15" style="54" customWidth="1"/>
    <col min="9" max="9" width="8.7109375" style="54" customWidth="1"/>
    <col min="10" max="10" width="9.28515625" style="52" customWidth="1"/>
    <col min="11" max="11" width="8.85546875" style="66"/>
    <col min="12" max="20" width="11" style="50" customWidth="1"/>
  </cols>
  <sheetData>
    <row r="1" spans="1:23" ht="18.75" x14ac:dyDescent="0.25">
      <c r="A1" s="84" t="s">
        <v>283</v>
      </c>
      <c r="I1" s="47" t="s">
        <v>279</v>
      </c>
      <c r="J1" s="54"/>
      <c r="K1" s="54"/>
      <c r="L1" s="54"/>
      <c r="M1" s="54"/>
      <c r="N1" s="54"/>
      <c r="O1" s="52"/>
      <c r="P1" s="66"/>
      <c r="W1" s="47" t="s">
        <v>253</v>
      </c>
    </row>
    <row r="2" spans="1:23" x14ac:dyDescent="0.25">
      <c r="A2" s="79" t="s">
        <v>172</v>
      </c>
      <c r="B2" s="47" t="s">
        <v>187</v>
      </c>
      <c r="C2" t="s">
        <v>321</v>
      </c>
      <c r="D2" t="s">
        <v>317</v>
      </c>
      <c r="E2" s="54" t="s">
        <v>318</v>
      </c>
      <c r="F2" s="54" t="s">
        <v>319</v>
      </c>
      <c r="G2" s="54" t="s">
        <v>320</v>
      </c>
      <c r="I2" s="78" t="s">
        <v>280</v>
      </c>
      <c r="J2" s="78" t="s">
        <v>306</v>
      </c>
      <c r="K2" s="70" t="s">
        <v>290</v>
      </c>
      <c r="L2" s="82" t="s">
        <v>291</v>
      </c>
      <c r="M2" s="82" t="s">
        <v>292</v>
      </c>
      <c r="N2" s="82" t="s">
        <v>293</v>
      </c>
      <c r="O2" s="83" t="s">
        <v>295</v>
      </c>
      <c r="P2" s="81" t="s">
        <v>299</v>
      </c>
      <c r="Q2" s="81" t="s">
        <v>300</v>
      </c>
      <c r="R2" s="81" t="s">
        <v>301</v>
      </c>
      <c r="S2" s="81" t="s">
        <v>305</v>
      </c>
      <c r="T2" s="81"/>
    </row>
    <row r="3" spans="1:23" x14ac:dyDescent="0.25">
      <c r="A3" s="74" t="s">
        <v>188</v>
      </c>
      <c r="B3" t="s">
        <v>181</v>
      </c>
      <c r="C3">
        <f>COUNT(I3:T3)</f>
        <v>0</v>
      </c>
      <c r="D3" s="86">
        <f>MAX(I3:T3)</f>
        <v>0</v>
      </c>
      <c r="E3" s="86">
        <f>MIN(I3:T3)</f>
        <v>0</v>
      </c>
      <c r="F3" s="87" t="str">
        <f>IFERROR(AVERAGE(I3:T3), "NA")</f>
        <v>NA</v>
      </c>
      <c r="I3" s="74"/>
      <c r="J3" s="78"/>
      <c r="K3" s="78"/>
      <c r="L3" s="78"/>
      <c r="M3" s="78"/>
      <c r="N3" s="78"/>
      <c r="O3" s="78"/>
      <c r="P3" s="74"/>
      <c r="Q3" s="80"/>
      <c r="R3" s="74"/>
      <c r="S3" s="74"/>
      <c r="T3" s="74"/>
    </row>
    <row r="4" spans="1:23" x14ac:dyDescent="0.25">
      <c r="A4" s="74"/>
      <c r="B4" t="s">
        <v>182</v>
      </c>
      <c r="C4">
        <f t="shared" ref="C4:C18" si="0">COUNT(I4:T4)</f>
        <v>0</v>
      </c>
      <c r="D4" s="86">
        <f t="shared" ref="D4:D18" si="1">MAX(I4:T4)</f>
        <v>0</v>
      </c>
      <c r="E4" s="86">
        <f t="shared" ref="E4:E18" si="2">MIN(I4:T4)</f>
        <v>0</v>
      </c>
      <c r="F4" s="87" t="str">
        <f t="shared" ref="F4:F18" si="3">IFERROR(AVERAGE(I4:T4), "NA")</f>
        <v>NA</v>
      </c>
      <c r="I4" s="74"/>
      <c r="J4" s="78"/>
      <c r="K4" s="78"/>
      <c r="L4" s="78"/>
      <c r="M4" s="78"/>
      <c r="N4" s="78"/>
      <c r="O4" s="78"/>
      <c r="P4" s="74"/>
      <c r="Q4" s="80"/>
      <c r="R4" s="74"/>
      <c r="S4" s="74"/>
      <c r="T4" s="74"/>
    </row>
    <row r="5" spans="1:23" x14ac:dyDescent="0.25">
      <c r="A5" s="74"/>
      <c r="B5" t="s">
        <v>183</v>
      </c>
      <c r="C5" s="88">
        <f t="shared" si="0"/>
        <v>3</v>
      </c>
      <c r="D5" s="89">
        <f t="shared" si="1"/>
        <v>13.4</v>
      </c>
      <c r="E5" s="89">
        <f t="shared" si="2"/>
        <v>8.8000000000000007</v>
      </c>
      <c r="F5" s="90">
        <f t="shared" si="3"/>
        <v>11.566666666666668</v>
      </c>
      <c r="I5" s="74"/>
      <c r="J5" s="78"/>
      <c r="K5" s="78">
        <f>H92</f>
        <v>13.4</v>
      </c>
      <c r="L5" s="78"/>
      <c r="M5" s="78">
        <f>H94</f>
        <v>12.5</v>
      </c>
      <c r="N5" s="78"/>
      <c r="O5" s="78"/>
      <c r="P5" s="78">
        <f>H98</f>
        <v>8.8000000000000007</v>
      </c>
      <c r="Q5" s="80"/>
      <c r="R5" s="74"/>
      <c r="S5" s="74"/>
      <c r="T5" s="74"/>
    </row>
    <row r="6" spans="1:23" x14ac:dyDescent="0.25">
      <c r="A6" s="74"/>
      <c r="B6" t="s">
        <v>176</v>
      </c>
      <c r="C6">
        <f t="shared" si="0"/>
        <v>0</v>
      </c>
      <c r="D6" s="86">
        <f t="shared" si="1"/>
        <v>0</v>
      </c>
      <c r="E6" s="86">
        <f t="shared" si="2"/>
        <v>0</v>
      </c>
      <c r="F6" s="87" t="str">
        <f t="shared" si="3"/>
        <v>NA</v>
      </c>
      <c r="I6" s="74"/>
      <c r="J6" s="78"/>
      <c r="K6" s="78"/>
      <c r="L6" s="78"/>
      <c r="M6" s="78"/>
      <c r="N6" s="78"/>
      <c r="O6" s="78"/>
      <c r="P6" s="74"/>
      <c r="Q6" s="80"/>
      <c r="R6" s="74"/>
      <c r="S6" s="74"/>
      <c r="T6" s="74"/>
    </row>
    <row r="7" spans="1:23" x14ac:dyDescent="0.25">
      <c r="A7" s="74" t="s">
        <v>103</v>
      </c>
      <c r="B7" t="s">
        <v>181</v>
      </c>
      <c r="C7">
        <f t="shared" si="0"/>
        <v>0</v>
      </c>
      <c r="D7" s="86">
        <f t="shared" si="1"/>
        <v>0</v>
      </c>
      <c r="E7" s="86">
        <f t="shared" si="2"/>
        <v>0</v>
      </c>
      <c r="F7" s="87" t="str">
        <f t="shared" si="3"/>
        <v>NA</v>
      </c>
      <c r="I7" s="74"/>
      <c r="J7" s="78"/>
      <c r="K7" s="78"/>
      <c r="L7" s="78"/>
      <c r="M7" s="78"/>
      <c r="N7" s="78"/>
      <c r="O7" s="78"/>
      <c r="P7" s="74"/>
      <c r="Q7" s="80"/>
      <c r="R7" s="74"/>
      <c r="S7" s="74"/>
      <c r="T7" s="74"/>
    </row>
    <row r="8" spans="1:23" x14ac:dyDescent="0.25">
      <c r="A8" s="74"/>
      <c r="B8" t="s">
        <v>182</v>
      </c>
      <c r="C8">
        <f t="shared" si="0"/>
        <v>0</v>
      </c>
      <c r="D8" s="86">
        <f t="shared" si="1"/>
        <v>0</v>
      </c>
      <c r="E8" s="86">
        <f t="shared" si="2"/>
        <v>0</v>
      </c>
      <c r="F8" s="87" t="str">
        <f t="shared" si="3"/>
        <v>NA</v>
      </c>
      <c r="I8" s="74"/>
      <c r="J8" s="78"/>
      <c r="K8" s="78"/>
      <c r="L8" s="78"/>
      <c r="M8" s="78"/>
      <c r="N8" s="78"/>
      <c r="O8" s="78"/>
      <c r="P8" s="74"/>
      <c r="Q8" s="80"/>
      <c r="R8" s="74"/>
      <c r="S8" s="74"/>
      <c r="T8" s="74"/>
    </row>
    <row r="9" spans="1:23" x14ac:dyDescent="0.25">
      <c r="A9" s="74"/>
      <c r="B9" t="s">
        <v>183</v>
      </c>
      <c r="C9" s="88">
        <f t="shared" si="0"/>
        <v>1</v>
      </c>
      <c r="D9" s="89">
        <f t="shared" si="1"/>
        <v>5.6</v>
      </c>
      <c r="E9" s="89">
        <f t="shared" si="2"/>
        <v>5.6</v>
      </c>
      <c r="F9" s="90">
        <f t="shared" si="3"/>
        <v>5.6</v>
      </c>
      <c r="I9" s="74"/>
      <c r="J9" s="78"/>
      <c r="K9" s="78"/>
      <c r="L9" s="78"/>
      <c r="M9" s="78"/>
      <c r="N9" s="78"/>
      <c r="O9" s="78"/>
      <c r="P9" s="74"/>
      <c r="Q9" s="80">
        <f>H99</f>
        <v>5.6</v>
      </c>
      <c r="R9" s="74"/>
      <c r="S9" s="74"/>
      <c r="T9" s="74"/>
    </row>
    <row r="10" spans="1:23" x14ac:dyDescent="0.25">
      <c r="A10" s="74"/>
      <c r="B10" t="s">
        <v>176</v>
      </c>
      <c r="C10">
        <f t="shared" si="0"/>
        <v>0</v>
      </c>
      <c r="D10" s="86">
        <f t="shared" si="1"/>
        <v>0</v>
      </c>
      <c r="E10" s="86">
        <f t="shared" si="2"/>
        <v>0</v>
      </c>
      <c r="F10" s="87" t="str">
        <f t="shared" si="3"/>
        <v>NA</v>
      </c>
      <c r="I10" s="74"/>
      <c r="J10" s="78"/>
      <c r="K10" s="78"/>
      <c r="L10" s="78"/>
      <c r="M10" s="78"/>
      <c r="N10" s="78"/>
      <c r="O10" s="78"/>
      <c r="P10" s="74"/>
      <c r="Q10" s="80"/>
      <c r="R10" s="74"/>
      <c r="S10" s="74"/>
      <c r="T10" s="74"/>
    </row>
    <row r="11" spans="1:23" x14ac:dyDescent="0.25">
      <c r="A11" s="74" t="s">
        <v>175</v>
      </c>
      <c r="B11" t="s">
        <v>181</v>
      </c>
      <c r="C11">
        <f t="shared" si="0"/>
        <v>0</v>
      </c>
      <c r="D11" s="86">
        <f t="shared" si="1"/>
        <v>0</v>
      </c>
      <c r="E11" s="86">
        <f t="shared" si="2"/>
        <v>0</v>
      </c>
      <c r="F11" s="87" t="str">
        <f t="shared" si="3"/>
        <v>NA</v>
      </c>
      <c r="I11" s="74"/>
      <c r="J11" s="78"/>
      <c r="K11" s="78"/>
      <c r="L11" s="78"/>
      <c r="M11" s="78"/>
      <c r="N11" s="78"/>
      <c r="O11" s="78"/>
      <c r="P11" s="74"/>
      <c r="Q11" s="80"/>
      <c r="R11" s="74"/>
      <c r="S11" s="74"/>
      <c r="T11" s="74"/>
    </row>
    <row r="12" spans="1:23" x14ac:dyDescent="0.25">
      <c r="A12" s="74"/>
      <c r="B12" t="s">
        <v>182</v>
      </c>
      <c r="C12">
        <f t="shared" si="0"/>
        <v>0</v>
      </c>
      <c r="D12" s="86">
        <f t="shared" si="1"/>
        <v>0</v>
      </c>
      <c r="E12" s="86">
        <f t="shared" si="2"/>
        <v>0</v>
      </c>
      <c r="F12" s="87" t="str">
        <f t="shared" si="3"/>
        <v>NA</v>
      </c>
      <c r="I12" s="74"/>
      <c r="J12" s="78"/>
      <c r="K12" s="78"/>
      <c r="L12" s="78"/>
      <c r="M12" s="78"/>
      <c r="N12" s="78"/>
      <c r="O12" s="78"/>
      <c r="P12" s="74"/>
      <c r="Q12" s="80"/>
      <c r="R12" s="74"/>
      <c r="S12" s="74"/>
      <c r="T12" s="74"/>
    </row>
    <row r="13" spans="1:23" x14ac:dyDescent="0.25">
      <c r="A13" s="74"/>
      <c r="B13" t="s">
        <v>183</v>
      </c>
      <c r="C13" s="88">
        <f t="shared" si="0"/>
        <v>2</v>
      </c>
      <c r="D13" s="89">
        <f t="shared" si="1"/>
        <v>7.5</v>
      </c>
      <c r="E13" s="89">
        <f t="shared" si="2"/>
        <v>5.6000000000000005</v>
      </c>
      <c r="F13" s="90">
        <f t="shared" si="3"/>
        <v>6.5500000000000007</v>
      </c>
      <c r="I13" s="74"/>
      <c r="J13" s="78"/>
      <c r="K13" s="78"/>
      <c r="L13" s="78">
        <f>H93</f>
        <v>5.6000000000000005</v>
      </c>
      <c r="M13" s="78"/>
      <c r="N13" s="78">
        <f>H95</f>
        <v>7.5</v>
      </c>
      <c r="O13" s="78"/>
      <c r="P13" s="74"/>
      <c r="Q13" s="80"/>
      <c r="R13" s="74"/>
      <c r="S13" s="74"/>
      <c r="T13" s="74"/>
    </row>
    <row r="14" spans="1:23" x14ac:dyDescent="0.25">
      <c r="A14" s="74"/>
      <c r="B14" t="s">
        <v>176</v>
      </c>
      <c r="C14">
        <f t="shared" si="0"/>
        <v>0</v>
      </c>
      <c r="D14" s="86">
        <f t="shared" si="1"/>
        <v>0</v>
      </c>
      <c r="E14" s="86">
        <f t="shared" si="2"/>
        <v>0</v>
      </c>
      <c r="F14" s="87" t="str">
        <f t="shared" si="3"/>
        <v>NA</v>
      </c>
      <c r="I14" s="74"/>
      <c r="J14" s="78"/>
      <c r="K14" s="78"/>
      <c r="L14" s="78"/>
      <c r="M14" s="78"/>
      <c r="N14" s="78"/>
      <c r="O14" s="78"/>
      <c r="P14" s="74"/>
      <c r="Q14" s="80"/>
      <c r="R14" s="74"/>
      <c r="S14" s="74"/>
      <c r="T14" s="74"/>
    </row>
    <row r="15" spans="1:23" x14ac:dyDescent="0.25">
      <c r="A15" s="74" t="s">
        <v>173</v>
      </c>
      <c r="B15" t="s">
        <v>181</v>
      </c>
      <c r="C15">
        <f t="shared" si="0"/>
        <v>0</v>
      </c>
      <c r="D15" s="86">
        <f t="shared" si="1"/>
        <v>0</v>
      </c>
      <c r="E15" s="86">
        <f t="shared" si="2"/>
        <v>0</v>
      </c>
      <c r="F15" s="87" t="str">
        <f t="shared" si="3"/>
        <v>NA</v>
      </c>
      <c r="I15" s="74"/>
      <c r="J15" s="78"/>
      <c r="K15" s="78"/>
      <c r="L15" s="78"/>
      <c r="M15" s="78"/>
      <c r="N15" s="78"/>
      <c r="O15" s="78"/>
      <c r="P15" s="74"/>
      <c r="Q15" s="80"/>
      <c r="R15" s="74"/>
      <c r="S15" s="74"/>
      <c r="T15" s="74"/>
    </row>
    <row r="16" spans="1:23" x14ac:dyDescent="0.25">
      <c r="A16" s="74"/>
      <c r="B16" t="s">
        <v>182</v>
      </c>
      <c r="C16">
        <f t="shared" si="0"/>
        <v>0</v>
      </c>
      <c r="D16" s="86">
        <f t="shared" si="1"/>
        <v>0</v>
      </c>
      <c r="E16" s="86">
        <f t="shared" si="2"/>
        <v>0</v>
      </c>
      <c r="F16" s="87" t="str">
        <f t="shared" si="3"/>
        <v>NA</v>
      </c>
      <c r="I16" s="74"/>
      <c r="J16" s="78"/>
      <c r="K16" s="78"/>
      <c r="L16" s="78"/>
      <c r="M16" s="78"/>
      <c r="N16" s="78"/>
      <c r="O16" s="78"/>
      <c r="P16" s="74"/>
      <c r="Q16" s="80"/>
      <c r="R16" s="74"/>
      <c r="S16" s="74"/>
      <c r="T16" s="74"/>
    </row>
    <row r="17" spans="1:20" x14ac:dyDescent="0.25">
      <c r="A17" s="74"/>
      <c r="B17" t="s">
        <v>183</v>
      </c>
      <c r="C17" s="88">
        <f t="shared" si="0"/>
        <v>5</v>
      </c>
      <c r="D17" s="89">
        <f t="shared" si="1"/>
        <v>9.9</v>
      </c>
      <c r="E17" s="89">
        <f t="shared" si="2"/>
        <v>-4.5</v>
      </c>
      <c r="F17" s="90">
        <f t="shared" si="3"/>
        <v>3.3400000000000007</v>
      </c>
      <c r="I17" s="78">
        <f>H89</f>
        <v>6</v>
      </c>
      <c r="J17" s="78">
        <f>H90</f>
        <v>-4.5</v>
      </c>
      <c r="K17" s="78"/>
      <c r="L17" s="78"/>
      <c r="M17" s="78"/>
      <c r="N17" s="78"/>
      <c r="O17" s="78">
        <v>9.9</v>
      </c>
      <c r="P17" s="74"/>
      <c r="Q17" s="80"/>
      <c r="R17" s="78">
        <f>H100</f>
        <v>6.7</v>
      </c>
      <c r="S17" s="78">
        <f>H105</f>
        <v>-1.4</v>
      </c>
      <c r="T17" s="74"/>
    </row>
    <row r="18" spans="1:20" x14ac:dyDescent="0.25">
      <c r="A18" s="74"/>
      <c r="B18" t="s">
        <v>176</v>
      </c>
      <c r="C18">
        <f t="shared" si="0"/>
        <v>0</v>
      </c>
      <c r="D18" s="86">
        <f t="shared" si="1"/>
        <v>0</v>
      </c>
      <c r="E18" s="86">
        <f t="shared" si="2"/>
        <v>0</v>
      </c>
      <c r="F18" s="87" t="str">
        <f t="shared" si="3"/>
        <v>NA</v>
      </c>
      <c r="I18" s="78"/>
      <c r="J18" s="78"/>
      <c r="K18" s="78"/>
      <c r="L18" s="78"/>
      <c r="M18" s="78"/>
      <c r="N18" s="78"/>
      <c r="O18" s="78"/>
      <c r="P18" s="74"/>
      <c r="Q18" s="80"/>
      <c r="R18" s="74"/>
      <c r="S18" s="74"/>
      <c r="T18" s="74"/>
    </row>
    <row r="19" spans="1:20" x14ac:dyDescent="0.25">
      <c r="A19" s="74"/>
      <c r="D19" s="86"/>
      <c r="E19" s="87"/>
      <c r="F19" s="87"/>
      <c r="I19"/>
      <c r="J19" s="54"/>
      <c r="K19" s="54"/>
      <c r="L19" s="54"/>
      <c r="M19" s="54"/>
      <c r="N19" s="54"/>
      <c r="O19" s="54"/>
      <c r="P19" s="52"/>
      <c r="Q19" s="66"/>
    </row>
    <row r="20" spans="1:20" ht="18.75" x14ac:dyDescent="0.25">
      <c r="A20" s="84" t="s">
        <v>282</v>
      </c>
      <c r="D20" s="86"/>
      <c r="E20" s="87"/>
      <c r="F20" s="87"/>
      <c r="I20" s="55" t="s">
        <v>189</v>
      </c>
      <c r="J20" s="54"/>
      <c r="K20" s="54"/>
      <c r="L20" s="54"/>
      <c r="M20" s="54"/>
      <c r="N20" s="54"/>
      <c r="O20" s="54"/>
      <c r="P20" s="52"/>
      <c r="Q20" s="66"/>
    </row>
    <row r="21" spans="1:20" x14ac:dyDescent="0.25">
      <c r="A21" s="79" t="s">
        <v>172</v>
      </c>
      <c r="B21" s="47" t="s">
        <v>187</v>
      </c>
      <c r="D21" s="86"/>
      <c r="E21" s="87"/>
      <c r="F21" s="87"/>
      <c r="I21" s="70" t="s">
        <v>286</v>
      </c>
      <c r="J21" s="71"/>
      <c r="K21" s="71"/>
      <c r="L21" s="71"/>
      <c r="M21" s="71"/>
      <c r="N21" s="72"/>
      <c r="O21" s="72"/>
      <c r="P21" s="49"/>
      <c r="Q21" s="73"/>
      <c r="R21" s="49"/>
      <c r="S21" s="49"/>
      <c r="T21" s="49"/>
    </row>
    <row r="22" spans="1:20" x14ac:dyDescent="0.25">
      <c r="A22" s="74" t="s">
        <v>188</v>
      </c>
      <c r="B22" t="s">
        <v>181</v>
      </c>
      <c r="C22">
        <f>COUNT(I22:T22)</f>
        <v>0</v>
      </c>
      <c r="D22" s="86">
        <f>MAX(I22:T22)</f>
        <v>0</v>
      </c>
      <c r="E22" s="86">
        <f>MIN(I22:T22)</f>
        <v>0</v>
      </c>
      <c r="F22" s="87" t="str">
        <f>IFERROR(AVERAGE(I22:T22), "NA")</f>
        <v>NA</v>
      </c>
      <c r="I22" s="75"/>
      <c r="J22" s="71"/>
      <c r="K22" s="71"/>
      <c r="L22" s="71"/>
      <c r="M22" s="71"/>
      <c r="N22" s="71"/>
      <c r="O22" s="71"/>
      <c r="P22" s="75"/>
      <c r="Q22" s="76"/>
      <c r="R22" s="75"/>
      <c r="S22" s="75"/>
      <c r="T22" s="75"/>
    </row>
    <row r="23" spans="1:20" x14ac:dyDescent="0.25">
      <c r="A23" s="74"/>
      <c r="B23" t="s">
        <v>182</v>
      </c>
      <c r="C23">
        <f t="shared" ref="C23:C37" si="4">COUNT(I23:T23)</f>
        <v>0</v>
      </c>
      <c r="D23" s="86">
        <f t="shared" ref="D23:D37" si="5">MAX(I23:T23)</f>
        <v>0</v>
      </c>
      <c r="E23" s="86">
        <f t="shared" ref="E23:E37" si="6">MIN(I23:T23)</f>
        <v>0</v>
      </c>
      <c r="F23" s="87" t="str">
        <f t="shared" ref="F23:F37" si="7">IFERROR(AVERAGE(I23:T23), "NA")</f>
        <v>NA</v>
      </c>
      <c r="I23" s="75"/>
      <c r="J23" s="71"/>
      <c r="K23" s="71"/>
      <c r="L23" s="71"/>
      <c r="M23" s="71"/>
      <c r="N23" s="71"/>
      <c r="O23" s="71"/>
      <c r="P23" s="75"/>
      <c r="Q23" s="76"/>
      <c r="R23" s="75"/>
      <c r="S23" s="75"/>
      <c r="T23" s="75"/>
    </row>
    <row r="24" spans="1:20" x14ac:dyDescent="0.25">
      <c r="A24" s="74"/>
      <c r="B24" t="s">
        <v>183</v>
      </c>
      <c r="C24" s="88">
        <f t="shared" si="4"/>
        <v>1</v>
      </c>
      <c r="D24" s="89">
        <f t="shared" si="5"/>
        <v>12</v>
      </c>
      <c r="E24" s="89">
        <f t="shared" si="6"/>
        <v>12</v>
      </c>
      <c r="F24" s="90">
        <f t="shared" si="7"/>
        <v>12</v>
      </c>
      <c r="I24" s="71">
        <f>F88</f>
        <v>12</v>
      </c>
      <c r="J24" s="71"/>
      <c r="K24" s="71"/>
      <c r="L24" s="71"/>
      <c r="M24" s="71"/>
      <c r="N24" s="71"/>
      <c r="O24" s="71"/>
      <c r="P24" s="75"/>
      <c r="Q24" s="76"/>
      <c r="R24" s="75"/>
      <c r="S24" s="75"/>
      <c r="T24" s="75"/>
    </row>
    <row r="25" spans="1:20" x14ac:dyDescent="0.25">
      <c r="A25" s="74"/>
      <c r="B25" t="s">
        <v>176</v>
      </c>
      <c r="C25">
        <f t="shared" si="4"/>
        <v>0</v>
      </c>
      <c r="D25" s="86">
        <f t="shared" si="5"/>
        <v>0</v>
      </c>
      <c r="E25" s="86">
        <f t="shared" si="6"/>
        <v>0</v>
      </c>
      <c r="F25" s="87" t="str">
        <f t="shared" si="7"/>
        <v>NA</v>
      </c>
      <c r="I25" s="75"/>
      <c r="J25" s="71"/>
      <c r="K25" s="71"/>
      <c r="L25" s="71"/>
      <c r="M25" s="71"/>
      <c r="N25" s="71"/>
      <c r="O25" s="71"/>
      <c r="P25" s="75"/>
      <c r="Q25" s="76"/>
      <c r="R25" s="75"/>
      <c r="S25" s="75"/>
      <c r="T25" s="75"/>
    </row>
    <row r="26" spans="1:20" x14ac:dyDescent="0.25">
      <c r="A26" s="74" t="s">
        <v>103</v>
      </c>
      <c r="B26" t="s">
        <v>181</v>
      </c>
      <c r="C26">
        <f t="shared" si="4"/>
        <v>0</v>
      </c>
      <c r="D26" s="86">
        <f t="shared" si="5"/>
        <v>0</v>
      </c>
      <c r="E26" s="86">
        <f t="shared" si="6"/>
        <v>0</v>
      </c>
      <c r="F26" s="87" t="str">
        <f t="shared" si="7"/>
        <v>NA</v>
      </c>
      <c r="I26" s="75"/>
      <c r="J26" s="71"/>
      <c r="K26" s="71"/>
      <c r="L26" s="71"/>
      <c r="M26" s="71"/>
      <c r="N26" s="71"/>
      <c r="O26" s="71"/>
      <c r="P26" s="75"/>
      <c r="Q26" s="76"/>
      <c r="R26" s="75"/>
      <c r="S26" s="75"/>
      <c r="T26" s="75"/>
    </row>
    <row r="27" spans="1:20" x14ac:dyDescent="0.25">
      <c r="A27" s="74"/>
      <c r="B27" t="s">
        <v>182</v>
      </c>
      <c r="C27">
        <f t="shared" si="4"/>
        <v>0</v>
      </c>
      <c r="D27" s="86">
        <f t="shared" si="5"/>
        <v>0</v>
      </c>
      <c r="E27" s="86">
        <f t="shared" si="6"/>
        <v>0</v>
      </c>
      <c r="F27" s="87" t="str">
        <f t="shared" si="7"/>
        <v>NA</v>
      </c>
      <c r="I27" s="75"/>
      <c r="J27" s="71"/>
      <c r="K27" s="71"/>
      <c r="L27" s="71"/>
      <c r="M27" s="71"/>
      <c r="N27" s="71"/>
      <c r="O27" s="71"/>
      <c r="P27" s="75"/>
      <c r="Q27" s="76"/>
      <c r="R27" s="75"/>
      <c r="S27" s="75"/>
      <c r="T27" s="75"/>
    </row>
    <row r="28" spans="1:20" x14ac:dyDescent="0.25">
      <c r="A28" s="74"/>
      <c r="B28" t="s">
        <v>183</v>
      </c>
      <c r="C28">
        <f t="shared" si="4"/>
        <v>0</v>
      </c>
      <c r="D28" s="86">
        <f t="shared" si="5"/>
        <v>0</v>
      </c>
      <c r="E28" s="86">
        <f t="shared" si="6"/>
        <v>0</v>
      </c>
      <c r="F28" s="87" t="str">
        <f t="shared" si="7"/>
        <v>NA</v>
      </c>
      <c r="I28" s="75"/>
      <c r="J28" s="71"/>
      <c r="K28" s="71"/>
      <c r="L28" s="71"/>
      <c r="M28" s="71"/>
      <c r="N28" s="71"/>
      <c r="O28" s="71"/>
      <c r="P28" s="75"/>
      <c r="Q28" s="76"/>
      <c r="R28" s="75"/>
      <c r="S28" s="75"/>
      <c r="T28" s="75"/>
    </row>
    <row r="29" spans="1:20" x14ac:dyDescent="0.25">
      <c r="A29" s="74"/>
      <c r="B29" t="s">
        <v>176</v>
      </c>
      <c r="C29">
        <f t="shared" si="4"/>
        <v>0</v>
      </c>
      <c r="D29" s="86">
        <f t="shared" si="5"/>
        <v>0</v>
      </c>
      <c r="E29" s="86">
        <f t="shared" si="6"/>
        <v>0</v>
      </c>
      <c r="F29" s="87" t="str">
        <f t="shared" si="7"/>
        <v>NA</v>
      </c>
      <c r="I29" s="75"/>
      <c r="J29" s="71"/>
      <c r="K29" s="71"/>
      <c r="L29" s="71"/>
      <c r="M29" s="71"/>
      <c r="N29" s="71"/>
      <c r="O29" s="71"/>
      <c r="P29" s="75"/>
      <c r="Q29" s="76"/>
      <c r="R29" s="75"/>
      <c r="S29" s="75"/>
      <c r="T29" s="75"/>
    </row>
    <row r="30" spans="1:20" x14ac:dyDescent="0.25">
      <c r="A30" s="74" t="s">
        <v>175</v>
      </c>
      <c r="B30" t="s">
        <v>181</v>
      </c>
      <c r="C30">
        <f t="shared" si="4"/>
        <v>0</v>
      </c>
      <c r="D30" s="86">
        <f t="shared" si="5"/>
        <v>0</v>
      </c>
      <c r="E30" s="86">
        <f t="shared" si="6"/>
        <v>0</v>
      </c>
      <c r="F30" s="87" t="str">
        <f t="shared" si="7"/>
        <v>NA</v>
      </c>
      <c r="I30" s="75"/>
      <c r="J30" s="71"/>
      <c r="K30" s="71"/>
      <c r="L30" s="71"/>
      <c r="M30" s="71"/>
      <c r="N30" s="71"/>
      <c r="O30" s="71"/>
      <c r="P30" s="75"/>
      <c r="Q30" s="76"/>
      <c r="R30" s="75"/>
      <c r="S30" s="75"/>
      <c r="T30" s="75"/>
    </row>
    <row r="31" spans="1:20" x14ac:dyDescent="0.25">
      <c r="A31" s="74"/>
      <c r="B31" t="s">
        <v>182</v>
      </c>
      <c r="C31">
        <f t="shared" si="4"/>
        <v>0</v>
      </c>
      <c r="D31" s="86">
        <f t="shared" si="5"/>
        <v>0</v>
      </c>
      <c r="E31" s="86">
        <f t="shared" si="6"/>
        <v>0</v>
      </c>
      <c r="F31" s="87" t="str">
        <f t="shared" si="7"/>
        <v>NA</v>
      </c>
      <c r="I31" s="75"/>
      <c r="J31" s="71"/>
      <c r="K31" s="71"/>
      <c r="L31" s="71"/>
      <c r="M31" s="71"/>
      <c r="N31" s="71"/>
      <c r="O31" s="71"/>
      <c r="P31" s="75"/>
      <c r="Q31" s="76"/>
      <c r="R31" s="75"/>
      <c r="S31" s="75"/>
      <c r="T31" s="75"/>
    </row>
    <row r="32" spans="1:20" x14ac:dyDescent="0.25">
      <c r="A32" s="74"/>
      <c r="B32" t="s">
        <v>183</v>
      </c>
      <c r="C32">
        <f t="shared" si="4"/>
        <v>0</v>
      </c>
      <c r="D32" s="86">
        <f t="shared" si="5"/>
        <v>0</v>
      </c>
      <c r="E32" s="86">
        <f t="shared" si="6"/>
        <v>0</v>
      </c>
      <c r="F32" s="87" t="str">
        <f t="shared" si="7"/>
        <v>NA</v>
      </c>
      <c r="I32" s="75"/>
      <c r="J32" s="71"/>
      <c r="K32" s="71"/>
      <c r="L32" s="71"/>
      <c r="M32" s="71"/>
      <c r="N32" s="71"/>
      <c r="O32" s="71"/>
      <c r="P32" s="75"/>
      <c r="Q32" s="76"/>
      <c r="R32" s="75"/>
      <c r="S32" s="75"/>
      <c r="T32" s="75"/>
    </row>
    <row r="33" spans="1:20" x14ac:dyDescent="0.25">
      <c r="A33" s="74"/>
      <c r="B33" t="s">
        <v>176</v>
      </c>
      <c r="C33">
        <f t="shared" si="4"/>
        <v>0</v>
      </c>
      <c r="D33" s="86">
        <f t="shared" si="5"/>
        <v>0</v>
      </c>
      <c r="E33" s="86">
        <f t="shared" si="6"/>
        <v>0</v>
      </c>
      <c r="F33" s="87" t="str">
        <f t="shared" si="7"/>
        <v>NA</v>
      </c>
      <c r="I33" s="75"/>
      <c r="J33" s="71"/>
      <c r="K33" s="71"/>
      <c r="L33" s="71"/>
      <c r="M33" s="71"/>
      <c r="N33" s="71"/>
      <c r="O33" s="71"/>
      <c r="P33" s="75"/>
      <c r="Q33" s="76"/>
      <c r="R33" s="75"/>
      <c r="S33" s="75"/>
      <c r="T33" s="75"/>
    </row>
    <row r="34" spans="1:20" x14ac:dyDescent="0.25">
      <c r="A34" s="74" t="s">
        <v>173</v>
      </c>
      <c r="B34" t="s">
        <v>181</v>
      </c>
      <c r="C34">
        <f t="shared" si="4"/>
        <v>0</v>
      </c>
      <c r="D34" s="86">
        <f t="shared" si="5"/>
        <v>0</v>
      </c>
      <c r="E34" s="86">
        <f t="shared" si="6"/>
        <v>0</v>
      </c>
      <c r="F34" s="87" t="str">
        <f t="shared" si="7"/>
        <v>NA</v>
      </c>
      <c r="I34" s="75"/>
      <c r="J34" s="71"/>
      <c r="K34" s="71"/>
      <c r="L34" s="71"/>
      <c r="M34" s="71"/>
      <c r="N34" s="71"/>
      <c r="O34" s="71"/>
      <c r="P34" s="75"/>
      <c r="Q34" s="76"/>
      <c r="R34" s="75"/>
      <c r="S34" s="75"/>
      <c r="T34" s="75"/>
    </row>
    <row r="35" spans="1:20" x14ac:dyDescent="0.25">
      <c r="A35" s="74"/>
      <c r="B35" t="s">
        <v>182</v>
      </c>
      <c r="C35">
        <f t="shared" si="4"/>
        <v>0</v>
      </c>
      <c r="D35" s="86">
        <f t="shared" si="5"/>
        <v>0</v>
      </c>
      <c r="E35" s="86">
        <f t="shared" si="6"/>
        <v>0</v>
      </c>
      <c r="F35" s="87" t="str">
        <f t="shared" si="7"/>
        <v>NA</v>
      </c>
      <c r="I35" s="75"/>
      <c r="J35" s="71"/>
      <c r="K35" s="71"/>
      <c r="L35" s="71"/>
      <c r="M35" s="71"/>
      <c r="N35" s="71"/>
      <c r="O35" s="71"/>
      <c r="P35" s="75"/>
      <c r="Q35" s="76"/>
      <c r="R35" s="75"/>
      <c r="S35" s="75"/>
      <c r="T35" s="75"/>
    </row>
    <row r="36" spans="1:20" x14ac:dyDescent="0.25">
      <c r="A36" s="74"/>
      <c r="B36" t="s">
        <v>183</v>
      </c>
      <c r="C36">
        <f t="shared" si="4"/>
        <v>0</v>
      </c>
      <c r="D36" s="86">
        <f t="shared" si="5"/>
        <v>0</v>
      </c>
      <c r="E36" s="86">
        <f t="shared" si="6"/>
        <v>0</v>
      </c>
      <c r="F36" s="87" t="str">
        <f t="shared" si="7"/>
        <v>NA</v>
      </c>
      <c r="I36" s="75"/>
      <c r="J36" s="71"/>
      <c r="K36" s="71"/>
      <c r="L36" s="71"/>
      <c r="M36" s="71"/>
      <c r="N36" s="71"/>
      <c r="O36" s="71"/>
      <c r="P36" s="75"/>
      <c r="Q36" s="76"/>
      <c r="R36" s="75"/>
      <c r="S36" s="75"/>
      <c r="T36" s="75"/>
    </row>
    <row r="37" spans="1:20" x14ac:dyDescent="0.25">
      <c r="A37" s="74"/>
      <c r="B37" t="s">
        <v>176</v>
      </c>
      <c r="C37">
        <f t="shared" si="4"/>
        <v>0</v>
      </c>
      <c r="D37" s="86">
        <f t="shared" si="5"/>
        <v>0</v>
      </c>
      <c r="E37" s="86">
        <f t="shared" si="6"/>
        <v>0</v>
      </c>
      <c r="F37" s="87" t="str">
        <f t="shared" si="7"/>
        <v>NA</v>
      </c>
      <c r="I37" s="75"/>
      <c r="J37" s="71"/>
      <c r="K37" s="71"/>
      <c r="L37" s="71"/>
      <c r="M37" s="71"/>
      <c r="N37" s="71"/>
      <c r="O37" s="71"/>
      <c r="P37" s="75"/>
      <c r="Q37" s="76"/>
      <c r="R37" s="75"/>
      <c r="S37" s="75"/>
      <c r="T37" s="75"/>
    </row>
    <row r="38" spans="1:20" x14ac:dyDescent="0.25">
      <c r="A38" s="74"/>
      <c r="D38" s="86"/>
      <c r="E38" s="87"/>
      <c r="F38" s="87"/>
      <c r="I38"/>
      <c r="J38" s="54"/>
      <c r="K38" s="54"/>
      <c r="L38" s="54"/>
      <c r="M38" s="54"/>
      <c r="N38" s="54"/>
      <c r="O38" s="54"/>
      <c r="P38" s="52"/>
      <c r="Q38" s="66"/>
    </row>
    <row r="39" spans="1:20" x14ac:dyDescent="0.25">
      <c r="A39" s="74"/>
      <c r="D39" s="86"/>
      <c r="E39" s="87"/>
      <c r="F39" s="87"/>
      <c r="I39"/>
      <c r="J39" s="54"/>
      <c r="K39" s="54"/>
      <c r="L39" s="54"/>
      <c r="M39" s="54"/>
      <c r="N39" s="54"/>
      <c r="O39" s="54"/>
      <c r="P39" s="52"/>
      <c r="Q39" s="66"/>
    </row>
    <row r="40" spans="1:20" ht="18.75" x14ac:dyDescent="0.25">
      <c r="A40" s="84" t="s">
        <v>284</v>
      </c>
      <c r="D40" s="86"/>
      <c r="E40" s="87"/>
      <c r="F40" s="87"/>
      <c r="I40" s="55" t="s">
        <v>189</v>
      </c>
      <c r="J40" s="54"/>
      <c r="K40" s="54"/>
      <c r="L40" s="54"/>
      <c r="M40" s="54"/>
      <c r="N40" s="54"/>
      <c r="O40" s="54"/>
      <c r="P40" s="52"/>
      <c r="Q40" s="66"/>
    </row>
    <row r="41" spans="1:20" x14ac:dyDescent="0.25">
      <c r="A41" s="79" t="s">
        <v>172</v>
      </c>
      <c r="B41" s="47" t="s">
        <v>187</v>
      </c>
      <c r="D41" s="86"/>
      <c r="E41" s="87"/>
      <c r="F41" s="87"/>
      <c r="I41" s="70" t="s">
        <v>290</v>
      </c>
      <c r="J41" s="82" t="s">
        <v>291</v>
      </c>
      <c r="K41" s="82" t="s">
        <v>292</v>
      </c>
      <c r="L41" s="82" t="s">
        <v>293</v>
      </c>
      <c r="M41" s="54" t="s">
        <v>297</v>
      </c>
      <c r="N41" s="54" t="s">
        <v>303</v>
      </c>
      <c r="O41" s="54" t="s">
        <v>304</v>
      </c>
      <c r="P41" s="52" t="s">
        <v>307</v>
      </c>
      <c r="Q41" s="66" t="s">
        <v>316</v>
      </c>
    </row>
    <row r="42" spans="1:20" x14ac:dyDescent="0.25">
      <c r="A42" s="74" t="s">
        <v>188</v>
      </c>
      <c r="B42" t="s">
        <v>181</v>
      </c>
      <c r="C42">
        <f>COUNT(I42:T42)</f>
        <v>0</v>
      </c>
      <c r="D42" s="86">
        <f>MAX(I42:T42)</f>
        <v>0</v>
      </c>
      <c r="E42" s="86">
        <f>MIN(I42:T42)</f>
        <v>0</v>
      </c>
      <c r="F42" s="87" t="str">
        <f>IFERROR(AVERAGE(I42:T42), "NA")</f>
        <v>NA</v>
      </c>
      <c r="I42" s="75"/>
      <c r="J42" s="54"/>
      <c r="K42" s="54"/>
      <c r="L42" s="54"/>
      <c r="M42" s="54"/>
      <c r="N42" s="54"/>
      <c r="O42" s="54"/>
      <c r="P42" s="52"/>
      <c r="Q42" s="66"/>
    </row>
    <row r="43" spans="1:20" x14ac:dyDescent="0.25">
      <c r="A43" s="74"/>
      <c r="B43" t="s">
        <v>182</v>
      </c>
      <c r="C43">
        <f t="shared" ref="C43:C61" si="8">COUNT(I43:T43)</f>
        <v>0</v>
      </c>
      <c r="D43" s="86">
        <f t="shared" ref="D43:D57" si="9">MAX(I43:T43)</f>
        <v>0</v>
      </c>
      <c r="E43" s="86">
        <f t="shared" ref="E43:E57" si="10">MIN(I43:T43)</f>
        <v>0</v>
      </c>
      <c r="F43" s="87" t="str">
        <f t="shared" ref="F43:F57" si="11">IFERROR(AVERAGE(I43:T43), "NA")</f>
        <v>NA</v>
      </c>
      <c r="I43" s="75"/>
      <c r="J43" s="54"/>
      <c r="K43" s="54"/>
      <c r="L43" s="54"/>
      <c r="M43" s="54"/>
      <c r="N43" s="54"/>
      <c r="O43" s="54"/>
      <c r="P43" s="52"/>
      <c r="Q43" s="66"/>
    </row>
    <row r="44" spans="1:20" x14ac:dyDescent="0.25">
      <c r="A44" s="74"/>
      <c r="B44" t="s">
        <v>183</v>
      </c>
      <c r="C44" s="88">
        <f t="shared" si="8"/>
        <v>2</v>
      </c>
      <c r="D44" s="89">
        <f t="shared" si="9"/>
        <v>16.100000000000001</v>
      </c>
      <c r="E44" s="89">
        <f t="shared" si="10"/>
        <v>13.9</v>
      </c>
      <c r="F44" s="90">
        <f t="shared" si="11"/>
        <v>15</v>
      </c>
      <c r="I44" s="71">
        <f>D92</f>
        <v>16.100000000000001</v>
      </c>
      <c r="J44" s="54"/>
      <c r="K44" s="54">
        <f>D94</f>
        <v>13.9</v>
      </c>
      <c r="L44" s="54"/>
      <c r="M44" s="54"/>
      <c r="N44" s="54"/>
      <c r="O44" s="54"/>
      <c r="P44" s="52"/>
      <c r="Q44" s="66"/>
    </row>
    <row r="45" spans="1:20" x14ac:dyDescent="0.25">
      <c r="A45" s="74"/>
      <c r="B45" t="s">
        <v>176</v>
      </c>
      <c r="C45">
        <f t="shared" si="8"/>
        <v>0</v>
      </c>
      <c r="D45" s="86">
        <f t="shared" si="9"/>
        <v>0</v>
      </c>
      <c r="E45" s="86">
        <f t="shared" si="10"/>
        <v>0</v>
      </c>
      <c r="F45" s="87" t="str">
        <f t="shared" si="11"/>
        <v>NA</v>
      </c>
      <c r="I45" s="75"/>
      <c r="J45" s="54"/>
      <c r="K45" s="54"/>
      <c r="L45" s="54"/>
      <c r="M45" s="54"/>
      <c r="N45" s="54"/>
      <c r="O45" s="54"/>
      <c r="P45" s="52"/>
      <c r="Q45" s="66"/>
    </row>
    <row r="46" spans="1:20" x14ac:dyDescent="0.25">
      <c r="A46" s="74" t="s">
        <v>103</v>
      </c>
      <c r="B46" t="s">
        <v>181</v>
      </c>
      <c r="C46">
        <f t="shared" si="8"/>
        <v>0</v>
      </c>
      <c r="D46" s="86">
        <f t="shared" si="9"/>
        <v>0</v>
      </c>
      <c r="E46" s="86">
        <f t="shared" si="10"/>
        <v>0</v>
      </c>
      <c r="F46" s="87" t="str">
        <f t="shared" si="11"/>
        <v>NA</v>
      </c>
      <c r="I46" s="75"/>
      <c r="J46" s="54"/>
      <c r="K46" s="54"/>
      <c r="L46" s="54"/>
      <c r="M46" s="54"/>
      <c r="N46" s="54"/>
      <c r="O46" s="54"/>
      <c r="P46" s="52"/>
      <c r="Q46" s="66"/>
    </row>
    <row r="47" spans="1:20" x14ac:dyDescent="0.25">
      <c r="A47" s="74"/>
      <c r="B47" t="s">
        <v>182</v>
      </c>
      <c r="C47">
        <f t="shared" si="8"/>
        <v>0</v>
      </c>
      <c r="D47" s="86">
        <f t="shared" si="9"/>
        <v>0</v>
      </c>
      <c r="E47" s="86">
        <f t="shared" si="10"/>
        <v>0</v>
      </c>
      <c r="F47" s="87" t="str">
        <f t="shared" si="11"/>
        <v>NA</v>
      </c>
      <c r="I47" s="75"/>
      <c r="J47" s="54"/>
      <c r="K47" s="54"/>
      <c r="L47" s="54"/>
      <c r="M47" s="54"/>
      <c r="N47" s="54"/>
      <c r="O47" s="54"/>
      <c r="P47" s="52"/>
      <c r="Q47" s="66"/>
    </row>
    <row r="48" spans="1:20" x14ac:dyDescent="0.25">
      <c r="A48" s="74"/>
      <c r="B48" t="s">
        <v>183</v>
      </c>
      <c r="C48">
        <f t="shared" si="8"/>
        <v>0</v>
      </c>
      <c r="D48" s="86">
        <f t="shared" si="9"/>
        <v>0</v>
      </c>
      <c r="E48" s="86">
        <f t="shared" si="10"/>
        <v>0</v>
      </c>
      <c r="F48" s="87" t="str">
        <f t="shared" si="11"/>
        <v>NA</v>
      </c>
      <c r="I48" s="75"/>
      <c r="J48" s="54"/>
      <c r="K48" s="54"/>
      <c r="L48" s="54"/>
      <c r="M48" s="54"/>
      <c r="N48" s="54"/>
      <c r="O48" s="54"/>
      <c r="P48" s="52"/>
      <c r="Q48" s="66"/>
    </row>
    <row r="49" spans="1:20" x14ac:dyDescent="0.25">
      <c r="A49" s="74"/>
      <c r="B49" t="s">
        <v>176</v>
      </c>
      <c r="C49">
        <f t="shared" si="8"/>
        <v>0</v>
      </c>
      <c r="D49" s="86">
        <f t="shared" si="9"/>
        <v>0</v>
      </c>
      <c r="E49" s="86">
        <f t="shared" si="10"/>
        <v>0</v>
      </c>
      <c r="F49" s="87" t="str">
        <f t="shared" si="11"/>
        <v>NA</v>
      </c>
      <c r="I49" s="75"/>
      <c r="J49" s="54"/>
      <c r="K49" s="54"/>
      <c r="L49" s="54"/>
      <c r="M49" s="54"/>
      <c r="N49" s="54"/>
      <c r="O49" s="54"/>
      <c r="P49" s="52"/>
      <c r="Q49" s="66"/>
    </row>
    <row r="50" spans="1:20" x14ac:dyDescent="0.25">
      <c r="A50" s="74" t="s">
        <v>175</v>
      </c>
      <c r="B50" t="s">
        <v>181</v>
      </c>
      <c r="C50">
        <f t="shared" si="8"/>
        <v>0</v>
      </c>
      <c r="D50" s="86">
        <f t="shared" si="9"/>
        <v>0</v>
      </c>
      <c r="E50" s="86">
        <f t="shared" si="10"/>
        <v>0</v>
      </c>
      <c r="F50" s="87" t="str">
        <f t="shared" si="11"/>
        <v>NA</v>
      </c>
      <c r="I50" s="75"/>
      <c r="J50" s="54"/>
      <c r="K50" s="54"/>
      <c r="L50" s="54"/>
      <c r="M50" s="54"/>
      <c r="N50" s="54"/>
      <c r="O50" s="54"/>
      <c r="P50" s="52"/>
      <c r="Q50" s="66"/>
    </row>
    <row r="51" spans="1:20" x14ac:dyDescent="0.25">
      <c r="A51" s="74"/>
      <c r="B51" t="s">
        <v>182</v>
      </c>
      <c r="C51">
        <f t="shared" si="8"/>
        <v>0</v>
      </c>
      <c r="D51" s="86">
        <f t="shared" si="9"/>
        <v>0</v>
      </c>
      <c r="E51" s="86">
        <f t="shared" si="10"/>
        <v>0</v>
      </c>
      <c r="F51" s="87" t="str">
        <f t="shared" si="11"/>
        <v>NA</v>
      </c>
      <c r="I51" s="75"/>
      <c r="J51" s="54"/>
      <c r="K51" s="54"/>
      <c r="L51" s="54"/>
      <c r="M51" s="54"/>
      <c r="N51" s="54"/>
      <c r="O51" s="54"/>
      <c r="P51" s="52"/>
      <c r="Q51" s="66"/>
    </row>
    <row r="52" spans="1:20" x14ac:dyDescent="0.25">
      <c r="A52" s="74"/>
      <c r="B52" t="s">
        <v>183</v>
      </c>
      <c r="C52" s="88">
        <f t="shared" si="8"/>
        <v>2</v>
      </c>
      <c r="D52" s="89">
        <f t="shared" si="9"/>
        <v>1.1000000000000014</v>
      </c>
      <c r="E52" s="89">
        <f t="shared" si="10"/>
        <v>0.80000000000000071</v>
      </c>
      <c r="F52" s="90">
        <f t="shared" si="11"/>
        <v>0.95000000000000107</v>
      </c>
      <c r="I52" s="75"/>
      <c r="J52" s="54">
        <f>D93</f>
        <v>1.1000000000000014</v>
      </c>
      <c r="K52" s="54"/>
      <c r="L52" s="54">
        <f>D95</f>
        <v>0.80000000000000071</v>
      </c>
      <c r="M52" s="54"/>
      <c r="N52" s="54"/>
      <c r="O52" s="54"/>
      <c r="P52" s="52"/>
      <c r="Q52" s="66"/>
    </row>
    <row r="53" spans="1:20" x14ac:dyDescent="0.25">
      <c r="A53" s="74"/>
      <c r="B53" t="s">
        <v>176</v>
      </c>
      <c r="C53">
        <f t="shared" si="8"/>
        <v>0</v>
      </c>
      <c r="D53" s="86">
        <f t="shared" si="9"/>
        <v>0</v>
      </c>
      <c r="E53" s="86">
        <f t="shared" si="10"/>
        <v>0</v>
      </c>
      <c r="F53" s="87" t="str">
        <f t="shared" si="11"/>
        <v>NA</v>
      </c>
      <c r="I53" s="75"/>
      <c r="J53" s="54"/>
      <c r="K53" s="54"/>
      <c r="L53" s="54"/>
      <c r="M53" s="54"/>
      <c r="N53" s="54"/>
      <c r="O53" s="54"/>
      <c r="P53" s="52"/>
      <c r="Q53" s="66"/>
    </row>
    <row r="54" spans="1:20" x14ac:dyDescent="0.25">
      <c r="A54" s="74" t="s">
        <v>173</v>
      </c>
      <c r="B54" t="s">
        <v>181</v>
      </c>
      <c r="C54">
        <f t="shared" si="8"/>
        <v>0</v>
      </c>
      <c r="D54" s="86">
        <f t="shared" si="9"/>
        <v>0</v>
      </c>
      <c r="E54" s="86">
        <f t="shared" si="10"/>
        <v>0</v>
      </c>
      <c r="F54" s="87" t="str">
        <f t="shared" si="11"/>
        <v>NA</v>
      </c>
      <c r="I54" s="75"/>
      <c r="J54" s="54"/>
      <c r="K54" s="54"/>
      <c r="L54" s="54"/>
      <c r="M54" s="54"/>
      <c r="N54" s="54"/>
      <c r="O54" s="54"/>
      <c r="P54" s="52"/>
      <c r="Q54" s="66"/>
    </row>
    <row r="55" spans="1:20" x14ac:dyDescent="0.25">
      <c r="A55" s="74"/>
      <c r="B55" t="s">
        <v>182</v>
      </c>
      <c r="C55">
        <f t="shared" si="8"/>
        <v>0</v>
      </c>
      <c r="D55" s="86">
        <f t="shared" si="9"/>
        <v>0</v>
      </c>
      <c r="E55" s="86">
        <f t="shared" si="10"/>
        <v>0</v>
      </c>
      <c r="F55" s="87" t="str">
        <f t="shared" si="11"/>
        <v>NA</v>
      </c>
      <c r="I55" s="75"/>
      <c r="J55" s="54"/>
      <c r="K55" s="54"/>
      <c r="L55" s="54"/>
      <c r="M55" s="54"/>
      <c r="N55" s="54"/>
      <c r="O55" s="54"/>
      <c r="P55" s="52"/>
      <c r="Q55" s="66"/>
    </row>
    <row r="56" spans="1:20" x14ac:dyDescent="0.25">
      <c r="A56" s="74"/>
      <c r="B56" t="s">
        <v>183</v>
      </c>
      <c r="C56" s="88">
        <f t="shared" si="8"/>
        <v>5</v>
      </c>
      <c r="D56" s="89">
        <f t="shared" si="9"/>
        <v>12.4</v>
      </c>
      <c r="E56" s="89">
        <f t="shared" si="10"/>
        <v>0.7</v>
      </c>
      <c r="F56" s="90">
        <f t="shared" si="11"/>
        <v>7.9</v>
      </c>
      <c r="I56" s="75"/>
      <c r="J56" s="54"/>
      <c r="K56" s="54"/>
      <c r="L56" s="54"/>
      <c r="M56" s="54">
        <v>4.8</v>
      </c>
      <c r="N56" s="54">
        <f>D101</f>
        <v>9.6</v>
      </c>
      <c r="O56" s="54">
        <f>D104</f>
        <v>12.4</v>
      </c>
      <c r="P56" s="54">
        <f>D105</f>
        <v>0.7</v>
      </c>
      <c r="Q56" s="66">
        <f>D106</f>
        <v>12</v>
      </c>
    </row>
    <row r="57" spans="1:20" x14ac:dyDescent="0.25">
      <c r="A57" s="74"/>
      <c r="B57" t="s">
        <v>176</v>
      </c>
      <c r="C57">
        <f t="shared" si="8"/>
        <v>0</v>
      </c>
      <c r="D57" s="86">
        <f t="shared" si="9"/>
        <v>0</v>
      </c>
      <c r="E57" s="86">
        <f t="shared" si="10"/>
        <v>0</v>
      </c>
      <c r="F57" s="87" t="str">
        <f t="shared" si="11"/>
        <v>NA</v>
      </c>
      <c r="I57" s="75"/>
      <c r="J57" s="54"/>
      <c r="K57" s="54"/>
      <c r="L57" s="54"/>
      <c r="M57" s="54"/>
      <c r="N57" s="54"/>
      <c r="O57" s="54"/>
      <c r="P57" s="52"/>
      <c r="Q57" s="66"/>
    </row>
    <row r="58" spans="1:20" x14ac:dyDescent="0.25">
      <c r="A58" s="74" t="s">
        <v>278</v>
      </c>
      <c r="B58" t="s">
        <v>181</v>
      </c>
      <c r="C58">
        <f t="shared" si="8"/>
        <v>0</v>
      </c>
      <c r="D58" s="86">
        <f t="shared" ref="D58:D61" si="12">MAX(I58:T58)</f>
        <v>0</v>
      </c>
      <c r="E58" s="86">
        <f t="shared" ref="E58:E61" si="13">MIN(I58:T58)</f>
        <v>0</v>
      </c>
      <c r="F58" s="87" t="str">
        <f t="shared" ref="F58:F61" si="14">IFERROR(AVERAGE(I58:T58), "NA")</f>
        <v>NA</v>
      </c>
      <c r="I58" s="75"/>
      <c r="J58" s="54"/>
      <c r="K58" s="54"/>
      <c r="L58" s="54"/>
      <c r="M58" s="54"/>
      <c r="N58" s="54"/>
      <c r="O58" s="54"/>
      <c r="P58" s="52"/>
      <c r="Q58" s="66"/>
    </row>
    <row r="59" spans="1:20" x14ac:dyDescent="0.25">
      <c r="A59" s="74"/>
      <c r="B59" t="s">
        <v>182</v>
      </c>
      <c r="C59">
        <f t="shared" si="8"/>
        <v>0</v>
      </c>
      <c r="D59" s="86">
        <f t="shared" si="12"/>
        <v>0</v>
      </c>
      <c r="E59" s="86">
        <f t="shared" si="13"/>
        <v>0</v>
      </c>
      <c r="F59" s="87" t="str">
        <f t="shared" si="14"/>
        <v>NA</v>
      </c>
      <c r="I59" s="75"/>
      <c r="J59" s="54"/>
      <c r="K59" s="54"/>
      <c r="L59" s="54"/>
      <c r="M59" s="54"/>
      <c r="N59" s="54"/>
      <c r="O59" s="54"/>
      <c r="P59" s="52"/>
      <c r="Q59" s="66"/>
    </row>
    <row r="60" spans="1:20" x14ac:dyDescent="0.25">
      <c r="A60" s="74"/>
      <c r="B60" t="s">
        <v>183</v>
      </c>
      <c r="C60">
        <f t="shared" si="8"/>
        <v>0</v>
      </c>
      <c r="D60" s="86">
        <f t="shared" si="12"/>
        <v>0</v>
      </c>
      <c r="E60" s="86">
        <f t="shared" si="13"/>
        <v>0</v>
      </c>
      <c r="F60" s="87" t="str">
        <f t="shared" si="14"/>
        <v>NA</v>
      </c>
      <c r="I60" s="75"/>
      <c r="J60" s="54"/>
      <c r="K60" s="54"/>
      <c r="L60" s="54"/>
      <c r="M60" s="54"/>
      <c r="N60" s="54"/>
      <c r="O60" s="54"/>
      <c r="P60" s="52"/>
      <c r="Q60" s="66"/>
    </row>
    <row r="61" spans="1:20" x14ac:dyDescent="0.25">
      <c r="A61" s="74"/>
      <c r="B61" t="s">
        <v>176</v>
      </c>
      <c r="C61">
        <f t="shared" si="8"/>
        <v>0</v>
      </c>
      <c r="D61" s="86">
        <f t="shared" si="12"/>
        <v>0</v>
      </c>
      <c r="E61" s="86">
        <f t="shared" si="13"/>
        <v>0</v>
      </c>
      <c r="F61" s="87" t="str">
        <f t="shared" si="14"/>
        <v>NA</v>
      </c>
      <c r="I61" s="75"/>
      <c r="J61" s="54"/>
      <c r="K61" s="54"/>
      <c r="L61" s="54"/>
      <c r="M61" s="54"/>
      <c r="N61" s="54"/>
      <c r="O61" s="54"/>
      <c r="P61" s="52"/>
      <c r="Q61" s="66"/>
    </row>
    <row r="62" spans="1:20" x14ac:dyDescent="0.25">
      <c r="A62" s="74"/>
      <c r="D62" s="86"/>
      <c r="E62" s="87"/>
      <c r="F62" s="87"/>
      <c r="I62"/>
      <c r="J62" s="54"/>
      <c r="K62" s="54"/>
      <c r="L62" s="54"/>
      <c r="M62" s="54"/>
      <c r="N62" s="54"/>
      <c r="O62" s="54"/>
      <c r="P62" s="52"/>
      <c r="Q62" s="66"/>
    </row>
    <row r="63" spans="1:20" ht="18.75" x14ac:dyDescent="0.25">
      <c r="A63" s="84" t="s">
        <v>285</v>
      </c>
      <c r="D63" s="86"/>
      <c r="E63" s="87"/>
      <c r="F63" s="87"/>
      <c r="I63" s="55" t="s">
        <v>189</v>
      </c>
      <c r="J63" s="54"/>
      <c r="K63" s="54"/>
      <c r="L63" s="54"/>
      <c r="M63" s="54"/>
      <c r="N63" s="54"/>
      <c r="O63" s="54"/>
      <c r="P63" s="52"/>
      <c r="Q63" s="66"/>
    </row>
    <row r="64" spans="1:20" x14ac:dyDescent="0.25">
      <c r="A64" s="79" t="s">
        <v>172</v>
      </c>
      <c r="B64" s="47" t="s">
        <v>187</v>
      </c>
      <c r="D64" s="86"/>
      <c r="E64" s="87"/>
      <c r="F64" s="87"/>
      <c r="I64" s="70" t="s">
        <v>287</v>
      </c>
      <c r="J64" s="71" t="s">
        <v>303</v>
      </c>
      <c r="K64" s="71" t="s">
        <v>304</v>
      </c>
      <c r="L64" s="66" t="s">
        <v>316</v>
      </c>
      <c r="M64" s="71"/>
      <c r="N64" s="72"/>
      <c r="O64" s="72"/>
      <c r="P64" s="49"/>
      <c r="Q64" s="73"/>
      <c r="R64" s="49"/>
      <c r="S64" s="49"/>
      <c r="T64" s="49"/>
    </row>
    <row r="65" spans="1:20" x14ac:dyDescent="0.25">
      <c r="A65" s="74" t="s">
        <v>188</v>
      </c>
      <c r="B65" t="s">
        <v>181</v>
      </c>
      <c r="C65">
        <f>COUNT(I65:T65)</f>
        <v>0</v>
      </c>
      <c r="D65" s="86">
        <f>MAX(I65:T65)</f>
        <v>0</v>
      </c>
      <c r="E65" s="86">
        <f>MIN(I65:T65)</f>
        <v>0</v>
      </c>
      <c r="F65" s="87" t="str">
        <f>IFERROR(AVERAGE(I65:T65), "NA")</f>
        <v>NA</v>
      </c>
      <c r="I65" s="75"/>
      <c r="J65" s="71"/>
      <c r="K65" s="71"/>
      <c r="L65" s="66"/>
      <c r="M65" s="71"/>
      <c r="N65" s="71"/>
      <c r="O65" s="71"/>
      <c r="P65" s="75"/>
      <c r="Q65" s="76"/>
      <c r="R65" s="75"/>
      <c r="S65" s="75"/>
      <c r="T65" s="75"/>
    </row>
    <row r="66" spans="1:20" x14ac:dyDescent="0.25">
      <c r="A66" s="74"/>
      <c r="B66" t="s">
        <v>182</v>
      </c>
      <c r="C66">
        <f t="shared" ref="C66:C84" si="15">COUNT(I66:T66)</f>
        <v>0</v>
      </c>
      <c r="D66" s="86">
        <f t="shared" ref="D66:D84" si="16">MAX(I66:T66)</f>
        <v>0</v>
      </c>
      <c r="E66" s="86">
        <f t="shared" ref="E66:E84" si="17">MIN(I66:T66)</f>
        <v>0</v>
      </c>
      <c r="F66" s="87" t="str">
        <f t="shared" ref="F66:F84" si="18">IFERROR(AVERAGE(I66:T66), "NA")</f>
        <v>NA</v>
      </c>
      <c r="I66" s="75"/>
      <c r="J66" s="71"/>
      <c r="K66" s="71"/>
      <c r="L66" s="66"/>
      <c r="M66" s="71"/>
      <c r="N66" s="71"/>
      <c r="O66" s="71"/>
      <c r="P66" s="75"/>
      <c r="Q66" s="76"/>
      <c r="R66" s="75"/>
      <c r="S66" s="75"/>
      <c r="T66" s="75"/>
    </row>
    <row r="67" spans="1:20" x14ac:dyDescent="0.25">
      <c r="A67" s="74"/>
      <c r="B67" t="s">
        <v>183</v>
      </c>
      <c r="C67" s="88">
        <f t="shared" si="15"/>
        <v>1</v>
      </c>
      <c r="D67" s="89">
        <f t="shared" si="16"/>
        <v>16</v>
      </c>
      <c r="E67" s="89">
        <f t="shared" si="17"/>
        <v>16</v>
      </c>
      <c r="F67" s="90">
        <f t="shared" si="18"/>
        <v>16</v>
      </c>
      <c r="I67" s="75"/>
      <c r="J67" s="71">
        <f>E101</f>
        <v>16</v>
      </c>
      <c r="K67" s="71"/>
      <c r="L67" s="66"/>
      <c r="M67" s="71"/>
      <c r="N67" s="71"/>
      <c r="O67" s="71"/>
      <c r="P67" s="75"/>
      <c r="Q67" s="76"/>
      <c r="R67" s="75"/>
      <c r="S67" s="75"/>
      <c r="T67" s="75"/>
    </row>
    <row r="68" spans="1:20" x14ac:dyDescent="0.25">
      <c r="A68" s="74"/>
      <c r="B68" t="s">
        <v>176</v>
      </c>
      <c r="C68">
        <f t="shared" si="15"/>
        <v>0</v>
      </c>
      <c r="D68" s="86">
        <f t="shared" si="16"/>
        <v>0</v>
      </c>
      <c r="E68" s="86">
        <f t="shared" si="17"/>
        <v>0</v>
      </c>
      <c r="F68" s="87" t="str">
        <f t="shared" si="18"/>
        <v>NA</v>
      </c>
      <c r="I68" s="75"/>
      <c r="J68" s="71"/>
      <c r="K68" s="71"/>
      <c r="L68" s="66"/>
      <c r="M68" s="71"/>
      <c r="N68" s="71"/>
      <c r="O68" s="71"/>
      <c r="P68" s="75"/>
      <c r="Q68" s="76"/>
      <c r="R68" s="75"/>
      <c r="S68" s="75"/>
      <c r="T68" s="75"/>
    </row>
    <row r="69" spans="1:20" x14ac:dyDescent="0.25">
      <c r="A69" s="74" t="s">
        <v>103</v>
      </c>
      <c r="B69" t="s">
        <v>181</v>
      </c>
      <c r="C69">
        <f t="shared" si="15"/>
        <v>0</v>
      </c>
      <c r="D69" s="86">
        <f t="shared" si="16"/>
        <v>0</v>
      </c>
      <c r="E69" s="86">
        <f t="shared" si="17"/>
        <v>0</v>
      </c>
      <c r="F69" s="87" t="str">
        <f t="shared" si="18"/>
        <v>NA</v>
      </c>
      <c r="I69" s="75"/>
      <c r="J69" s="71"/>
      <c r="K69" s="71"/>
      <c r="L69" s="66"/>
      <c r="M69" s="71"/>
      <c r="N69" s="71"/>
      <c r="O69" s="71"/>
      <c r="P69" s="75"/>
      <c r="Q69" s="76"/>
      <c r="R69" s="75"/>
      <c r="S69" s="75"/>
      <c r="T69" s="75"/>
    </row>
    <row r="70" spans="1:20" x14ac:dyDescent="0.25">
      <c r="A70" s="74"/>
      <c r="B70" t="s">
        <v>182</v>
      </c>
      <c r="C70">
        <f t="shared" si="15"/>
        <v>0</v>
      </c>
      <c r="D70" s="86">
        <f t="shared" si="16"/>
        <v>0</v>
      </c>
      <c r="E70" s="86">
        <f t="shared" si="17"/>
        <v>0</v>
      </c>
      <c r="F70" s="87" t="str">
        <f t="shared" si="18"/>
        <v>NA</v>
      </c>
      <c r="I70" s="75"/>
      <c r="J70" s="71"/>
      <c r="K70" s="71"/>
      <c r="L70" s="66"/>
      <c r="M70" s="71"/>
      <c r="N70" s="71"/>
      <c r="O70" s="71"/>
      <c r="P70" s="75"/>
      <c r="Q70" s="76"/>
      <c r="R70" s="75"/>
      <c r="S70" s="75"/>
      <c r="T70" s="75"/>
    </row>
    <row r="71" spans="1:20" x14ac:dyDescent="0.25">
      <c r="A71" s="74"/>
      <c r="B71" t="s">
        <v>183</v>
      </c>
      <c r="C71">
        <f t="shared" si="15"/>
        <v>0</v>
      </c>
      <c r="D71" s="86">
        <f t="shared" si="16"/>
        <v>0</v>
      </c>
      <c r="E71" s="86">
        <f t="shared" si="17"/>
        <v>0</v>
      </c>
      <c r="F71" s="87" t="str">
        <f t="shared" si="18"/>
        <v>NA</v>
      </c>
      <c r="I71" s="75"/>
      <c r="J71" s="71"/>
      <c r="K71" s="71"/>
      <c r="L71" s="66"/>
      <c r="M71" s="71"/>
      <c r="N71" s="71"/>
      <c r="O71" s="71"/>
      <c r="P71" s="75"/>
      <c r="Q71" s="76"/>
      <c r="R71" s="75"/>
      <c r="S71" s="75"/>
      <c r="T71" s="75"/>
    </row>
    <row r="72" spans="1:20" x14ac:dyDescent="0.25">
      <c r="A72" s="74"/>
      <c r="B72" t="s">
        <v>176</v>
      </c>
      <c r="C72">
        <f t="shared" si="15"/>
        <v>0</v>
      </c>
      <c r="D72" s="86">
        <f t="shared" si="16"/>
        <v>0</v>
      </c>
      <c r="E72" s="86">
        <f t="shared" si="17"/>
        <v>0</v>
      </c>
      <c r="F72" s="87" t="str">
        <f t="shared" si="18"/>
        <v>NA</v>
      </c>
      <c r="I72" s="75"/>
      <c r="J72" s="71"/>
      <c r="K72" s="71"/>
      <c r="L72" s="66"/>
      <c r="M72" s="71"/>
      <c r="N72" s="71"/>
      <c r="O72" s="71"/>
      <c r="P72" s="75"/>
      <c r="Q72" s="76"/>
      <c r="R72" s="75"/>
      <c r="S72" s="75"/>
      <c r="T72" s="75"/>
    </row>
    <row r="73" spans="1:20" x14ac:dyDescent="0.25">
      <c r="A73" s="74" t="s">
        <v>175</v>
      </c>
      <c r="B73" t="s">
        <v>181</v>
      </c>
      <c r="C73">
        <f t="shared" si="15"/>
        <v>0</v>
      </c>
      <c r="D73" s="86">
        <f t="shared" si="16"/>
        <v>0</v>
      </c>
      <c r="E73" s="86">
        <f t="shared" si="17"/>
        <v>0</v>
      </c>
      <c r="F73" s="87" t="str">
        <f t="shared" si="18"/>
        <v>NA</v>
      </c>
      <c r="I73" s="75"/>
      <c r="J73" s="71"/>
      <c r="K73" s="71"/>
      <c r="L73" s="66"/>
      <c r="M73" s="71"/>
      <c r="N73" s="71"/>
      <c r="O73" s="71"/>
      <c r="P73" s="75"/>
      <c r="Q73" s="76"/>
      <c r="R73" s="75"/>
      <c r="S73" s="75"/>
      <c r="T73" s="75"/>
    </row>
    <row r="74" spans="1:20" x14ac:dyDescent="0.25">
      <c r="A74" s="74"/>
      <c r="B74" t="s">
        <v>182</v>
      </c>
      <c r="C74">
        <f t="shared" si="15"/>
        <v>0</v>
      </c>
      <c r="D74" s="86">
        <f t="shared" si="16"/>
        <v>0</v>
      </c>
      <c r="E74" s="86">
        <f t="shared" si="17"/>
        <v>0</v>
      </c>
      <c r="F74" s="87" t="str">
        <f t="shared" si="18"/>
        <v>NA</v>
      </c>
      <c r="I74" s="75"/>
      <c r="J74" s="71"/>
      <c r="K74" s="71"/>
      <c r="L74" s="66"/>
      <c r="M74" s="71"/>
      <c r="N74" s="71"/>
      <c r="O74" s="71"/>
      <c r="P74" s="75"/>
      <c r="Q74" s="76"/>
      <c r="R74" s="75"/>
      <c r="S74" s="75"/>
      <c r="T74" s="75"/>
    </row>
    <row r="75" spans="1:20" x14ac:dyDescent="0.25">
      <c r="A75" s="74"/>
      <c r="B75" t="s">
        <v>183</v>
      </c>
      <c r="C75">
        <f t="shared" si="15"/>
        <v>0</v>
      </c>
      <c r="D75" s="86">
        <f t="shared" si="16"/>
        <v>0</v>
      </c>
      <c r="E75" s="86">
        <f t="shared" si="17"/>
        <v>0</v>
      </c>
      <c r="F75" s="87" t="str">
        <f t="shared" si="18"/>
        <v>NA</v>
      </c>
      <c r="I75" s="75"/>
      <c r="J75" s="71"/>
      <c r="K75" s="71"/>
      <c r="L75" s="66"/>
      <c r="M75" s="71"/>
      <c r="N75" s="71"/>
      <c r="O75" s="71"/>
      <c r="P75" s="75"/>
      <c r="Q75" s="76"/>
      <c r="R75" s="75"/>
      <c r="S75" s="75"/>
      <c r="T75" s="75"/>
    </row>
    <row r="76" spans="1:20" x14ac:dyDescent="0.25">
      <c r="A76" s="74"/>
      <c r="B76" t="s">
        <v>176</v>
      </c>
      <c r="C76">
        <f t="shared" si="15"/>
        <v>0</v>
      </c>
      <c r="D76" s="86">
        <f t="shared" si="16"/>
        <v>0</v>
      </c>
      <c r="E76" s="86">
        <f t="shared" si="17"/>
        <v>0</v>
      </c>
      <c r="F76" s="87" t="str">
        <f t="shared" si="18"/>
        <v>NA</v>
      </c>
      <c r="I76" s="75"/>
      <c r="J76" s="71"/>
      <c r="K76" s="71"/>
      <c r="L76" s="66"/>
      <c r="M76" s="71"/>
      <c r="N76" s="71"/>
      <c r="O76" s="71"/>
      <c r="P76" s="75"/>
      <c r="Q76" s="76"/>
      <c r="R76" s="75"/>
      <c r="S76" s="75"/>
      <c r="T76" s="75"/>
    </row>
    <row r="77" spans="1:20" x14ac:dyDescent="0.25">
      <c r="A77" s="74" t="s">
        <v>173</v>
      </c>
      <c r="B77" t="s">
        <v>181</v>
      </c>
      <c r="C77">
        <f t="shared" si="15"/>
        <v>0</v>
      </c>
      <c r="D77" s="86">
        <f t="shared" si="16"/>
        <v>0</v>
      </c>
      <c r="E77" s="86">
        <f t="shared" si="17"/>
        <v>0</v>
      </c>
      <c r="F77" s="87" t="str">
        <f t="shared" si="18"/>
        <v>NA</v>
      </c>
      <c r="I77" s="75"/>
      <c r="J77" s="71"/>
      <c r="K77" s="71"/>
      <c r="L77" s="66"/>
      <c r="M77" s="71"/>
      <c r="N77" s="71"/>
      <c r="O77" s="71"/>
      <c r="P77" s="75"/>
      <c r="Q77" s="76"/>
      <c r="R77" s="75"/>
      <c r="S77" s="75"/>
      <c r="T77" s="75"/>
    </row>
    <row r="78" spans="1:20" x14ac:dyDescent="0.25">
      <c r="A78" s="74"/>
      <c r="B78" t="s">
        <v>182</v>
      </c>
      <c r="C78">
        <f t="shared" si="15"/>
        <v>0</v>
      </c>
      <c r="D78" s="86">
        <f t="shared" si="16"/>
        <v>0</v>
      </c>
      <c r="E78" s="86">
        <f t="shared" si="17"/>
        <v>0</v>
      </c>
      <c r="F78" s="87" t="str">
        <f t="shared" si="18"/>
        <v>NA</v>
      </c>
      <c r="I78" s="75"/>
      <c r="J78" s="71"/>
      <c r="K78" s="71"/>
      <c r="L78" s="66"/>
      <c r="M78" s="71"/>
      <c r="N78" s="71"/>
      <c r="O78" s="71"/>
      <c r="P78" s="75"/>
      <c r="Q78" s="76"/>
      <c r="R78" s="75"/>
      <c r="S78" s="75"/>
      <c r="T78" s="75"/>
    </row>
    <row r="79" spans="1:20" x14ac:dyDescent="0.25">
      <c r="A79" s="74"/>
      <c r="B79" t="s">
        <v>183</v>
      </c>
      <c r="C79" s="88">
        <f t="shared" si="15"/>
        <v>2</v>
      </c>
      <c r="D79" s="89">
        <f t="shared" si="16"/>
        <v>12.927067669172931</v>
      </c>
      <c r="E79" s="89">
        <f t="shared" si="17"/>
        <v>12</v>
      </c>
      <c r="F79" s="90">
        <f t="shared" si="18"/>
        <v>12.463533834586466</v>
      </c>
      <c r="I79" s="75"/>
      <c r="J79" s="71"/>
      <c r="K79" s="71">
        <f>E104</f>
        <v>12.927067669172931</v>
      </c>
      <c r="L79" s="66">
        <f>F106</f>
        <v>12</v>
      </c>
      <c r="M79" s="71"/>
      <c r="N79" s="71"/>
      <c r="O79" s="71"/>
      <c r="P79" s="75"/>
      <c r="Q79" s="76"/>
      <c r="R79" s="75"/>
      <c r="S79" s="75"/>
      <c r="T79" s="75"/>
    </row>
    <row r="80" spans="1:20" x14ac:dyDescent="0.25">
      <c r="A80" s="74"/>
      <c r="B80" t="s">
        <v>176</v>
      </c>
      <c r="C80">
        <f t="shared" si="15"/>
        <v>0</v>
      </c>
      <c r="D80" s="86">
        <f t="shared" si="16"/>
        <v>0</v>
      </c>
      <c r="E80" s="86">
        <f t="shared" si="17"/>
        <v>0</v>
      </c>
      <c r="F80" s="87" t="str">
        <f t="shared" si="18"/>
        <v>NA</v>
      </c>
      <c r="I80" s="75"/>
      <c r="J80" s="71"/>
      <c r="K80" s="71"/>
      <c r="L80" s="71"/>
      <c r="M80" s="71"/>
      <c r="N80" s="71"/>
      <c r="O80" s="71"/>
      <c r="P80" s="75"/>
      <c r="Q80" s="76"/>
      <c r="R80" s="75"/>
      <c r="S80" s="75"/>
      <c r="T80" s="75"/>
    </row>
    <row r="81" spans="1:20" x14ac:dyDescent="0.25">
      <c r="A81" s="74" t="s">
        <v>278</v>
      </c>
      <c r="B81" t="s">
        <v>181</v>
      </c>
      <c r="C81">
        <f t="shared" si="15"/>
        <v>0</v>
      </c>
      <c r="D81" s="86">
        <f t="shared" si="16"/>
        <v>0</v>
      </c>
      <c r="E81" s="86">
        <f t="shared" si="17"/>
        <v>0</v>
      </c>
      <c r="F81" s="87" t="str">
        <f t="shared" si="18"/>
        <v>NA</v>
      </c>
      <c r="I81" s="75"/>
      <c r="J81" s="71"/>
      <c r="K81" s="71"/>
      <c r="L81" s="71"/>
      <c r="M81" s="71"/>
      <c r="N81" s="71"/>
      <c r="O81" s="71"/>
      <c r="P81" s="75"/>
      <c r="Q81" s="76"/>
      <c r="R81" s="75"/>
      <c r="S81" s="75"/>
      <c r="T81" s="75"/>
    </row>
    <row r="82" spans="1:20" x14ac:dyDescent="0.25">
      <c r="A82" s="74"/>
      <c r="B82" t="s">
        <v>182</v>
      </c>
      <c r="C82">
        <f t="shared" si="15"/>
        <v>0</v>
      </c>
      <c r="D82" s="86">
        <f t="shared" si="16"/>
        <v>0</v>
      </c>
      <c r="E82" s="86">
        <f t="shared" si="17"/>
        <v>0</v>
      </c>
      <c r="F82" s="87" t="str">
        <f t="shared" si="18"/>
        <v>NA</v>
      </c>
      <c r="I82" s="75"/>
      <c r="J82" s="71"/>
      <c r="K82" s="71"/>
      <c r="L82" s="71"/>
      <c r="M82" s="71"/>
      <c r="N82" s="71"/>
      <c r="O82" s="71"/>
      <c r="P82" s="75"/>
      <c r="Q82" s="76"/>
      <c r="R82" s="75"/>
      <c r="S82" s="75"/>
      <c r="T82" s="75"/>
    </row>
    <row r="83" spans="1:20" x14ac:dyDescent="0.25">
      <c r="A83" s="74"/>
      <c r="B83" t="s">
        <v>183</v>
      </c>
      <c r="C83" s="88">
        <f t="shared" si="15"/>
        <v>1</v>
      </c>
      <c r="D83" s="89">
        <f t="shared" si="16"/>
        <v>3</v>
      </c>
      <c r="E83" s="89">
        <f t="shared" si="17"/>
        <v>3</v>
      </c>
      <c r="F83" s="90">
        <f t="shared" si="18"/>
        <v>3</v>
      </c>
      <c r="I83" s="71">
        <f>E91</f>
        <v>3</v>
      </c>
      <c r="J83" s="71"/>
      <c r="K83" s="71"/>
      <c r="L83" s="71"/>
      <c r="M83" s="71"/>
      <c r="N83" s="71"/>
      <c r="O83" s="71"/>
      <c r="P83" s="75"/>
      <c r="Q83" s="76"/>
      <c r="R83" s="75"/>
      <c r="S83" s="75"/>
      <c r="T83" s="75"/>
    </row>
    <row r="84" spans="1:20" x14ac:dyDescent="0.25">
      <c r="A84" s="74"/>
      <c r="B84" t="s">
        <v>176</v>
      </c>
      <c r="C84">
        <f t="shared" si="15"/>
        <v>0</v>
      </c>
      <c r="D84" s="86">
        <f t="shared" si="16"/>
        <v>0</v>
      </c>
      <c r="E84" s="86">
        <f t="shared" si="17"/>
        <v>0</v>
      </c>
      <c r="F84" s="87" t="str">
        <f t="shared" si="18"/>
        <v>NA</v>
      </c>
      <c r="I84" s="75"/>
      <c r="J84" s="71"/>
      <c r="K84" s="71"/>
      <c r="L84" s="71"/>
      <c r="M84" s="71"/>
      <c r="N84" s="71"/>
      <c r="O84" s="71"/>
      <c r="P84" s="75"/>
      <c r="Q84" s="76"/>
      <c r="R84" s="75"/>
      <c r="S84" s="75"/>
      <c r="T84" s="75"/>
    </row>
    <row r="85" spans="1:20" x14ac:dyDescent="0.25">
      <c r="A85" s="74"/>
      <c r="D85"/>
      <c r="J85" s="54"/>
      <c r="K85" s="54"/>
      <c r="L85" s="54"/>
      <c r="M85" s="54"/>
      <c r="N85" s="52"/>
      <c r="O85" s="66"/>
    </row>
    <row r="86" spans="1:20" x14ac:dyDescent="0.25">
      <c r="A86" s="74"/>
    </row>
    <row r="87" spans="1:20" ht="45" x14ac:dyDescent="0.25">
      <c r="A87" s="79" t="s">
        <v>189</v>
      </c>
      <c r="B87" s="51" t="s">
        <v>178</v>
      </c>
      <c r="C87" s="51" t="s">
        <v>172</v>
      </c>
      <c r="D87" s="56" t="s">
        <v>201</v>
      </c>
      <c r="E87" s="56" t="s">
        <v>199</v>
      </c>
      <c r="F87" s="56" t="s">
        <v>202</v>
      </c>
      <c r="G87" s="56" t="s">
        <v>200</v>
      </c>
      <c r="H87" s="56" t="s">
        <v>184</v>
      </c>
      <c r="I87" s="56" t="s">
        <v>270</v>
      </c>
      <c r="J87" s="53" t="s">
        <v>174</v>
      </c>
      <c r="K87" s="67" t="s">
        <v>195</v>
      </c>
      <c r="L87" s="50" t="s">
        <v>214</v>
      </c>
    </row>
    <row r="88" spans="1:20" x14ac:dyDescent="0.25">
      <c r="A88" s="77">
        <v>1</v>
      </c>
      <c r="B88" t="s">
        <v>194</v>
      </c>
      <c r="C88" t="s">
        <v>173</v>
      </c>
      <c r="D88" s="54" t="s">
        <v>72</v>
      </c>
      <c r="E88" s="54" t="s">
        <v>72</v>
      </c>
      <c r="F88" s="58">
        <v>12</v>
      </c>
      <c r="G88" s="54" t="s">
        <v>72</v>
      </c>
      <c r="H88" s="54" t="s">
        <v>72</v>
      </c>
      <c r="I88" s="62"/>
      <c r="J88" s="52" t="s">
        <v>185</v>
      </c>
      <c r="K88" s="66">
        <v>113</v>
      </c>
      <c r="L88" s="50" t="s">
        <v>250</v>
      </c>
    </row>
    <row r="89" spans="1:20" x14ac:dyDescent="0.25">
      <c r="A89" s="77" t="s">
        <v>192</v>
      </c>
      <c r="B89" t="s">
        <v>179</v>
      </c>
      <c r="C89" t="s">
        <v>173</v>
      </c>
      <c r="D89" s="54" t="s">
        <v>72</v>
      </c>
      <c r="E89" s="54" t="s">
        <v>72</v>
      </c>
      <c r="F89" s="54" t="s">
        <v>72</v>
      </c>
      <c r="G89" s="54" t="s">
        <v>72</v>
      </c>
      <c r="H89" s="58">
        <v>6</v>
      </c>
      <c r="I89" s="62"/>
      <c r="J89" s="52" t="s">
        <v>185</v>
      </c>
      <c r="K89" s="66">
        <v>153</v>
      </c>
      <c r="L89" s="50" t="s">
        <v>251</v>
      </c>
    </row>
    <row r="90" spans="1:20" x14ac:dyDescent="0.25">
      <c r="A90" s="77" t="s">
        <v>193</v>
      </c>
      <c r="B90" t="s">
        <v>180</v>
      </c>
      <c r="C90" t="s">
        <v>173</v>
      </c>
      <c r="D90" s="54" t="s">
        <v>72</v>
      </c>
      <c r="E90" s="54" t="s">
        <v>72</v>
      </c>
      <c r="F90" s="54" t="s">
        <v>72</v>
      </c>
      <c r="G90" s="54" t="s">
        <v>72</v>
      </c>
      <c r="H90" s="58">
        <v>-4.5</v>
      </c>
      <c r="I90" s="62"/>
      <c r="J90" s="52" t="s">
        <v>185</v>
      </c>
      <c r="K90" s="66">
        <v>127</v>
      </c>
    </row>
    <row r="91" spans="1:20" x14ac:dyDescent="0.25">
      <c r="A91" s="77">
        <v>3</v>
      </c>
      <c r="B91" t="s">
        <v>198</v>
      </c>
      <c r="C91" t="s">
        <v>278</v>
      </c>
      <c r="D91" s="54" t="s">
        <v>72</v>
      </c>
      <c r="E91" s="58">
        <v>3</v>
      </c>
      <c r="F91" s="54" t="s">
        <v>72</v>
      </c>
      <c r="G91" s="54" t="s">
        <v>72</v>
      </c>
      <c r="H91" s="54" t="s">
        <v>72</v>
      </c>
      <c r="I91" s="62"/>
      <c r="J91" s="52" t="s">
        <v>204</v>
      </c>
      <c r="K91" s="66">
        <v>725</v>
      </c>
      <c r="L91" s="50" t="s">
        <v>294</v>
      </c>
    </row>
    <row r="92" spans="1:20" x14ac:dyDescent="0.25">
      <c r="A92" s="77" t="s">
        <v>206</v>
      </c>
      <c r="B92" t="s">
        <v>205</v>
      </c>
      <c r="C92" t="s">
        <v>104</v>
      </c>
      <c r="D92" s="58">
        <v>16.100000000000001</v>
      </c>
      <c r="E92" s="54" t="s">
        <v>72</v>
      </c>
      <c r="F92" s="54" t="s">
        <v>72</v>
      </c>
      <c r="G92" s="54" t="s">
        <v>72</v>
      </c>
      <c r="H92" s="58">
        <v>13.4</v>
      </c>
      <c r="I92" s="62"/>
      <c r="J92" s="52" t="s">
        <v>208</v>
      </c>
      <c r="K92" s="66">
        <v>400</v>
      </c>
      <c r="L92" s="50" t="s">
        <v>289</v>
      </c>
    </row>
    <row r="93" spans="1:20" x14ac:dyDescent="0.25">
      <c r="A93" s="77" t="s">
        <v>207</v>
      </c>
      <c r="B93" t="s">
        <v>205</v>
      </c>
      <c r="C93" t="s">
        <v>175</v>
      </c>
      <c r="D93" s="58">
        <f>16.1-15</f>
        <v>1.1000000000000014</v>
      </c>
      <c r="E93" s="54" t="s">
        <v>72</v>
      </c>
      <c r="F93" s="54" t="s">
        <v>72</v>
      </c>
      <c r="G93" s="54" t="s">
        <v>72</v>
      </c>
      <c r="H93" s="58">
        <f>H92-7.8</f>
        <v>5.6000000000000005</v>
      </c>
      <c r="I93" s="62"/>
      <c r="J93" s="52" t="s">
        <v>208</v>
      </c>
      <c r="K93" s="66">
        <v>400</v>
      </c>
      <c r="L93" s="50" t="s">
        <v>288</v>
      </c>
    </row>
    <row r="94" spans="1:20" x14ac:dyDescent="0.25">
      <c r="A94" s="77" t="s">
        <v>211</v>
      </c>
      <c r="B94" t="s">
        <v>213</v>
      </c>
      <c r="C94" t="s">
        <v>104</v>
      </c>
      <c r="D94" s="58">
        <v>13.9</v>
      </c>
      <c r="E94" s="54" t="s">
        <v>72</v>
      </c>
      <c r="F94" s="54" t="s">
        <v>72</v>
      </c>
      <c r="G94" s="54" t="s">
        <v>72</v>
      </c>
      <c r="H94" s="58">
        <v>12.5</v>
      </c>
      <c r="I94" s="62"/>
      <c r="J94" s="52" t="s">
        <v>208</v>
      </c>
      <c r="K94" s="66">
        <v>300</v>
      </c>
      <c r="L94" s="50" t="s">
        <v>289</v>
      </c>
    </row>
    <row r="95" spans="1:20" x14ac:dyDescent="0.25">
      <c r="A95" s="77" t="s">
        <v>212</v>
      </c>
      <c r="B95" t="s">
        <v>213</v>
      </c>
      <c r="C95" t="s">
        <v>175</v>
      </c>
      <c r="D95" s="58">
        <f>D94-13.1</f>
        <v>0.80000000000000071</v>
      </c>
      <c r="E95" s="54" t="s">
        <v>72</v>
      </c>
      <c r="F95" s="54" t="s">
        <v>72</v>
      </c>
      <c r="G95" s="54" t="s">
        <v>72</v>
      </c>
      <c r="H95" s="58">
        <f>H94-5</f>
        <v>7.5</v>
      </c>
      <c r="I95" s="62"/>
      <c r="J95" s="52" t="s">
        <v>208</v>
      </c>
      <c r="K95" s="66">
        <v>400</v>
      </c>
      <c r="L95" s="50" t="s">
        <v>288</v>
      </c>
    </row>
    <row r="96" spans="1:20" x14ac:dyDescent="0.25">
      <c r="A96" s="77">
        <v>6</v>
      </c>
      <c r="B96" t="s">
        <v>218</v>
      </c>
      <c r="C96" t="s">
        <v>173</v>
      </c>
      <c r="D96" s="54" t="s">
        <v>72</v>
      </c>
      <c r="E96" s="54" t="s">
        <v>72</v>
      </c>
      <c r="F96" s="54" t="s">
        <v>72</v>
      </c>
      <c r="G96" s="54" t="s">
        <v>72</v>
      </c>
      <c r="H96" s="58">
        <v>9.9</v>
      </c>
      <c r="I96" s="62"/>
      <c r="J96" s="52" t="s">
        <v>215</v>
      </c>
      <c r="K96" s="66">
        <v>29</v>
      </c>
      <c r="L96" s="50" t="s">
        <v>296</v>
      </c>
    </row>
    <row r="97" spans="1:12" x14ac:dyDescent="0.25">
      <c r="A97" s="77">
        <v>7</v>
      </c>
      <c r="B97" t="s">
        <v>219</v>
      </c>
      <c r="C97" t="s">
        <v>173</v>
      </c>
      <c r="D97" s="58">
        <v>4.8</v>
      </c>
      <c r="E97" s="61" t="s">
        <v>72</v>
      </c>
      <c r="F97" s="61" t="s">
        <v>72</v>
      </c>
      <c r="G97" s="54" t="s">
        <v>72</v>
      </c>
      <c r="H97" s="52" t="s">
        <v>72</v>
      </c>
      <c r="I97" s="63"/>
      <c r="J97" s="52" t="s">
        <v>220</v>
      </c>
      <c r="K97" s="66">
        <v>1887</v>
      </c>
      <c r="L97" s="50" t="s">
        <v>252</v>
      </c>
    </row>
    <row r="98" spans="1:12" x14ac:dyDescent="0.25">
      <c r="A98" s="77" t="s">
        <v>223</v>
      </c>
      <c r="B98" t="s">
        <v>222</v>
      </c>
      <c r="C98" t="s">
        <v>104</v>
      </c>
      <c r="D98" s="54" t="s">
        <v>72</v>
      </c>
      <c r="E98" s="54" t="s">
        <v>72</v>
      </c>
      <c r="F98" s="54" t="s">
        <v>72</v>
      </c>
      <c r="G98" s="54" t="s">
        <v>72</v>
      </c>
      <c r="H98" s="58">
        <v>8.8000000000000007</v>
      </c>
      <c r="I98" s="62"/>
      <c r="J98" s="52" t="s">
        <v>220</v>
      </c>
      <c r="K98" s="68"/>
      <c r="L98" s="50" t="s">
        <v>225</v>
      </c>
    </row>
    <row r="99" spans="1:12" x14ac:dyDescent="0.25">
      <c r="A99" s="77" t="s">
        <v>224</v>
      </c>
      <c r="B99" t="s">
        <v>221</v>
      </c>
      <c r="C99" t="s">
        <v>103</v>
      </c>
      <c r="D99" s="54" t="s">
        <v>72</v>
      </c>
      <c r="E99" s="54" t="s">
        <v>72</v>
      </c>
      <c r="F99" s="54" t="s">
        <v>72</v>
      </c>
      <c r="G99" s="54" t="s">
        <v>72</v>
      </c>
      <c r="H99" s="58">
        <v>5.6</v>
      </c>
      <c r="I99" s="62"/>
      <c r="J99" s="52" t="s">
        <v>220</v>
      </c>
      <c r="K99" s="68"/>
      <c r="L99" s="50" t="s">
        <v>225</v>
      </c>
    </row>
    <row r="100" spans="1:12" x14ac:dyDescent="0.25">
      <c r="A100" s="77" t="s">
        <v>298</v>
      </c>
      <c r="B100" t="s">
        <v>221</v>
      </c>
      <c r="C100" t="s">
        <v>173</v>
      </c>
      <c r="D100" s="54" t="s">
        <v>72</v>
      </c>
      <c r="E100" s="54" t="s">
        <v>72</v>
      </c>
      <c r="F100" s="54" t="s">
        <v>72</v>
      </c>
      <c r="G100" s="54" t="s">
        <v>72</v>
      </c>
      <c r="H100" s="58">
        <v>6.7</v>
      </c>
      <c r="I100" s="62"/>
      <c r="J100" s="52" t="s">
        <v>220</v>
      </c>
      <c r="K100" s="68">
        <v>2118</v>
      </c>
    </row>
    <row r="101" spans="1:12" x14ac:dyDescent="0.25">
      <c r="A101" s="77">
        <v>9</v>
      </c>
      <c r="B101" t="s">
        <v>228</v>
      </c>
      <c r="C101" t="s">
        <v>173</v>
      </c>
      <c r="D101" s="58">
        <v>9.6</v>
      </c>
      <c r="E101" s="58">
        <v>16</v>
      </c>
      <c r="F101" s="58">
        <v>9.5</v>
      </c>
      <c r="G101" s="58">
        <v>14</v>
      </c>
      <c r="H101" s="52" t="s">
        <v>72</v>
      </c>
      <c r="I101" s="63"/>
      <c r="J101" s="52" t="s">
        <v>226</v>
      </c>
      <c r="K101" s="66">
        <v>22</v>
      </c>
    </row>
    <row r="102" spans="1:12" x14ac:dyDescent="0.25">
      <c r="A102" s="77" t="s">
        <v>230</v>
      </c>
      <c r="B102" t="s">
        <v>229</v>
      </c>
      <c r="C102" t="s">
        <v>173</v>
      </c>
      <c r="D102" s="58">
        <v>7.7</v>
      </c>
      <c r="E102" s="58">
        <v>5.4</v>
      </c>
      <c r="F102" s="54" t="s">
        <v>72</v>
      </c>
      <c r="G102" s="54" t="s">
        <v>72</v>
      </c>
      <c r="H102" s="54" t="s">
        <v>72</v>
      </c>
      <c r="I102" s="62"/>
      <c r="J102" s="52" t="s">
        <v>226</v>
      </c>
      <c r="K102" s="68">
        <v>101</v>
      </c>
      <c r="L102" s="50" t="s">
        <v>247</v>
      </c>
    </row>
    <row r="103" spans="1:12" x14ac:dyDescent="0.25">
      <c r="A103" s="77" t="s">
        <v>232</v>
      </c>
      <c r="B103" t="s">
        <v>231</v>
      </c>
      <c r="C103" t="s">
        <v>173</v>
      </c>
      <c r="D103" s="58">
        <v>21</v>
      </c>
      <c r="E103" s="58">
        <v>26.7</v>
      </c>
      <c r="F103" s="54" t="s">
        <v>72</v>
      </c>
      <c r="G103" s="54" t="s">
        <v>72</v>
      </c>
      <c r="H103" s="54" t="s">
        <v>72</v>
      </c>
      <c r="I103" s="62"/>
      <c r="J103" s="52" t="s">
        <v>226</v>
      </c>
      <c r="K103" s="68">
        <v>101</v>
      </c>
      <c r="L103" s="50" t="s">
        <v>248</v>
      </c>
    </row>
    <row r="104" spans="1:12" x14ac:dyDescent="0.25">
      <c r="A104" s="77" t="s">
        <v>233</v>
      </c>
      <c r="B104" t="s">
        <v>234</v>
      </c>
      <c r="C104" t="s">
        <v>173</v>
      </c>
      <c r="D104" s="58">
        <v>12.4</v>
      </c>
      <c r="E104" s="61">
        <f>E102+G124</f>
        <v>12.927067669172931</v>
      </c>
      <c r="F104" s="54" t="s">
        <v>72</v>
      </c>
      <c r="G104" s="54" t="s">
        <v>72</v>
      </c>
      <c r="H104" s="54" t="s">
        <v>72</v>
      </c>
      <c r="I104" s="62"/>
      <c r="J104" s="52" t="s">
        <v>226</v>
      </c>
      <c r="K104" s="66">
        <v>101</v>
      </c>
      <c r="L104" s="50" t="s">
        <v>235</v>
      </c>
    </row>
    <row r="105" spans="1:12" x14ac:dyDescent="0.25">
      <c r="A105" s="77">
        <v>11</v>
      </c>
      <c r="B105" s="60" t="s">
        <v>267</v>
      </c>
      <c r="C105" t="s">
        <v>173</v>
      </c>
      <c r="D105" s="58">
        <v>0.7</v>
      </c>
      <c r="E105" s="54" t="s">
        <v>72</v>
      </c>
      <c r="F105" s="54" t="s">
        <v>72</v>
      </c>
      <c r="G105" s="54" t="s">
        <v>72</v>
      </c>
      <c r="H105" s="58">
        <v>-1.4</v>
      </c>
      <c r="I105" s="62">
        <v>0</v>
      </c>
      <c r="J105" s="52" t="s">
        <v>204</v>
      </c>
      <c r="K105" s="66">
        <v>693</v>
      </c>
      <c r="L105" s="50" t="s">
        <v>271</v>
      </c>
    </row>
    <row r="106" spans="1:12" x14ac:dyDescent="0.25">
      <c r="A106" s="77">
        <v>12</v>
      </c>
      <c r="B106" t="s">
        <v>242</v>
      </c>
      <c r="C106" t="s">
        <v>173</v>
      </c>
      <c r="D106" s="59">
        <v>12</v>
      </c>
      <c r="E106" s="54" t="s">
        <v>72</v>
      </c>
      <c r="F106" s="59">
        <v>12</v>
      </c>
      <c r="G106" s="54" t="s">
        <v>72</v>
      </c>
      <c r="H106" s="54" t="s">
        <v>72</v>
      </c>
      <c r="I106" s="62"/>
      <c r="J106" s="52" t="s">
        <v>239</v>
      </c>
      <c r="K106" s="66">
        <v>176</v>
      </c>
      <c r="L106" s="50" t="s">
        <v>249</v>
      </c>
    </row>
    <row r="107" spans="1:12" x14ac:dyDescent="0.25">
      <c r="A107" s="77">
        <v>13</v>
      </c>
      <c r="B107" t="s">
        <v>315</v>
      </c>
      <c r="C107" t="s">
        <v>173</v>
      </c>
      <c r="D107" s="54" t="s">
        <v>72</v>
      </c>
      <c r="E107" s="54" t="s">
        <v>72</v>
      </c>
      <c r="F107" s="54" t="s">
        <v>72</v>
      </c>
      <c r="G107" s="54" t="s">
        <v>72</v>
      </c>
      <c r="H107" s="54">
        <v>10.199999999999999</v>
      </c>
      <c r="I107" s="62"/>
    </row>
    <row r="108" spans="1:12" x14ac:dyDescent="0.25">
      <c r="A108" s="77"/>
      <c r="I108" s="62"/>
    </row>
    <row r="109" spans="1:12" x14ac:dyDescent="0.25">
      <c r="A109" s="77" t="s">
        <v>313</v>
      </c>
      <c r="B109" t="s">
        <v>237</v>
      </c>
      <c r="D109" s="54" t="s">
        <v>72</v>
      </c>
      <c r="E109" s="54" t="s">
        <v>72</v>
      </c>
      <c r="F109" s="54" t="s">
        <v>72</v>
      </c>
      <c r="G109" s="54" t="s">
        <v>72</v>
      </c>
      <c r="H109" s="54" t="s">
        <v>72</v>
      </c>
      <c r="I109" s="58">
        <v>3.3</v>
      </c>
      <c r="J109" s="52" t="s">
        <v>236</v>
      </c>
      <c r="K109" s="66">
        <v>2372</v>
      </c>
    </row>
    <row r="110" spans="1:12" x14ac:dyDescent="0.25">
      <c r="A110" s="77" t="s">
        <v>313</v>
      </c>
      <c r="B110" t="s">
        <v>243</v>
      </c>
      <c r="D110" s="58">
        <v>6</v>
      </c>
      <c r="E110" s="54" t="s">
        <v>72</v>
      </c>
      <c r="F110" s="58">
        <v>14</v>
      </c>
      <c r="G110" s="54" t="s">
        <v>72</v>
      </c>
      <c r="H110" s="58">
        <v>6</v>
      </c>
      <c r="I110" s="62"/>
      <c r="J110" s="52" t="s">
        <v>238</v>
      </c>
      <c r="K110" s="69" t="s">
        <v>72</v>
      </c>
      <c r="L110" s="50" t="s">
        <v>240</v>
      </c>
    </row>
    <row r="112" spans="1:12" x14ac:dyDescent="0.25">
      <c r="A112" s="77" t="s">
        <v>314</v>
      </c>
      <c r="B112" t="s">
        <v>254</v>
      </c>
      <c r="D112" s="54" t="s">
        <v>72</v>
      </c>
      <c r="E112" s="58">
        <v>4</v>
      </c>
      <c r="F112" s="54" t="s">
        <v>72</v>
      </c>
      <c r="G112" s="54" t="s">
        <v>72</v>
      </c>
      <c r="H112" s="54" t="s">
        <v>72</v>
      </c>
      <c r="I112" s="62"/>
      <c r="J112" s="52" t="s">
        <v>204</v>
      </c>
      <c r="K112" s="66">
        <v>1344</v>
      </c>
      <c r="L112" s="50" t="s">
        <v>268</v>
      </c>
    </row>
    <row r="113" spans="1:12" x14ac:dyDescent="0.25">
      <c r="A113" s="77" t="s">
        <v>314</v>
      </c>
      <c r="B113" t="s">
        <v>255</v>
      </c>
      <c r="D113" s="54" t="s">
        <v>72</v>
      </c>
      <c r="E113" s="58">
        <v>26.9</v>
      </c>
      <c r="F113" s="54" t="s">
        <v>72</v>
      </c>
      <c r="G113" s="54" t="s">
        <v>72</v>
      </c>
      <c r="H113" s="54" t="s">
        <v>72</v>
      </c>
      <c r="I113" s="62"/>
      <c r="J113" s="52" t="s">
        <v>204</v>
      </c>
      <c r="K113" s="66">
        <v>2650</v>
      </c>
      <c r="L113" s="50" t="s">
        <v>269</v>
      </c>
    </row>
    <row r="114" spans="1:12" x14ac:dyDescent="0.25">
      <c r="A114" s="77" t="s">
        <v>314</v>
      </c>
      <c r="B114" t="s">
        <v>257</v>
      </c>
      <c r="D114" s="59" t="e">
        <f>16*#REF!</f>
        <v>#REF!</v>
      </c>
      <c r="E114" s="54" t="s">
        <v>72</v>
      </c>
      <c r="F114" s="59" t="e">
        <f>16*#REF!</f>
        <v>#REF!</v>
      </c>
      <c r="G114" s="54" t="s">
        <v>72</v>
      </c>
      <c r="H114" s="58" t="e">
        <f>10*#REF!</f>
        <v>#REF!</v>
      </c>
      <c r="I114" s="62" t="s">
        <v>72</v>
      </c>
      <c r="J114" s="52" t="s">
        <v>227</v>
      </c>
      <c r="K114" s="66">
        <v>86</v>
      </c>
      <c r="L114" s="50" t="s">
        <v>266</v>
      </c>
    </row>
    <row r="115" spans="1:12" x14ac:dyDescent="0.25">
      <c r="A115" s="77" t="s">
        <v>314</v>
      </c>
      <c r="B115" t="s">
        <v>258</v>
      </c>
      <c r="D115" s="54" t="s">
        <v>72</v>
      </c>
      <c r="F115" s="54" t="s">
        <v>72</v>
      </c>
      <c r="H115" s="54" t="s">
        <v>72</v>
      </c>
      <c r="I115" s="62" t="s">
        <v>72</v>
      </c>
      <c r="J115" s="52" t="s">
        <v>259</v>
      </c>
      <c r="K115" s="66">
        <v>115</v>
      </c>
      <c r="L115" s="50" t="s">
        <v>260</v>
      </c>
    </row>
    <row r="116" spans="1:12" x14ac:dyDescent="0.25">
      <c r="A116" s="77" t="s">
        <v>314</v>
      </c>
      <c r="B116" t="s">
        <v>261</v>
      </c>
      <c r="D116" s="54" t="s">
        <v>72</v>
      </c>
      <c r="F116" s="54" t="s">
        <v>72</v>
      </c>
      <c r="H116" s="54" t="s">
        <v>72</v>
      </c>
      <c r="I116" s="62" t="s">
        <v>72</v>
      </c>
      <c r="J116" s="52" t="s">
        <v>262</v>
      </c>
      <c r="K116" s="66">
        <v>800</v>
      </c>
      <c r="L116" s="50" t="s">
        <v>277</v>
      </c>
    </row>
    <row r="117" spans="1:12" x14ac:dyDescent="0.25">
      <c r="A117" s="77" t="s">
        <v>314</v>
      </c>
      <c r="B117" t="s">
        <v>265</v>
      </c>
      <c r="D117" s="54" t="s">
        <v>72</v>
      </c>
      <c r="F117" s="54" t="s">
        <v>72</v>
      </c>
      <c r="H117" s="54" t="s">
        <v>72</v>
      </c>
      <c r="I117" s="62" t="s">
        <v>72</v>
      </c>
      <c r="J117" s="52" t="s">
        <v>262</v>
      </c>
      <c r="K117" s="66">
        <v>280</v>
      </c>
      <c r="L117" s="50" t="s">
        <v>263</v>
      </c>
    </row>
    <row r="118" spans="1:12" x14ac:dyDescent="0.25">
      <c r="A118" s="77" t="s">
        <v>314</v>
      </c>
      <c r="B118" t="s">
        <v>256</v>
      </c>
      <c r="D118" s="58">
        <v>11</v>
      </c>
      <c r="E118" s="61"/>
      <c r="F118" s="54" t="s">
        <v>72</v>
      </c>
      <c r="G118" s="54" t="s">
        <v>72</v>
      </c>
      <c r="H118" s="54" t="s">
        <v>72</v>
      </c>
      <c r="I118" s="62" t="s">
        <v>72</v>
      </c>
      <c r="J118" s="52" t="s">
        <v>264</v>
      </c>
      <c r="K118" s="66">
        <v>22000</v>
      </c>
      <c r="L118" s="50" t="s">
        <v>276</v>
      </c>
    </row>
    <row r="119" spans="1:12" x14ac:dyDescent="0.25">
      <c r="L119" s="50" t="s">
        <v>275</v>
      </c>
    </row>
    <row r="123" spans="1:12" x14ac:dyDescent="0.25">
      <c r="B123" s="64" t="s">
        <v>274</v>
      </c>
      <c r="C123" s="64"/>
      <c r="D123" s="54">
        <f>D103-D104</f>
        <v>8.6</v>
      </c>
      <c r="E123" s="65">
        <f>D123/D125</f>
        <v>0.64661654135338342</v>
      </c>
      <c r="F123" s="54">
        <f>E103-E102</f>
        <v>21.299999999999997</v>
      </c>
      <c r="G123" s="54">
        <f>E123*F123</f>
        <v>13.772932330827064</v>
      </c>
    </row>
    <row r="124" spans="1:12" x14ac:dyDescent="0.25">
      <c r="B124" s="64" t="s">
        <v>273</v>
      </c>
      <c r="C124" s="64"/>
      <c r="D124" s="54">
        <f>D104-D102</f>
        <v>4.7</v>
      </c>
      <c r="E124" s="65">
        <f>D124/D125</f>
        <v>0.35338345864661652</v>
      </c>
      <c r="F124" s="54">
        <f>F123</f>
        <v>21.299999999999997</v>
      </c>
      <c r="G124" s="54">
        <f>E124*F124</f>
        <v>7.527067669172931</v>
      </c>
    </row>
    <row r="125" spans="1:12" x14ac:dyDescent="0.25">
      <c r="B125" s="64" t="s">
        <v>272</v>
      </c>
      <c r="C125" s="64"/>
      <c r="D125" s="54">
        <f>D103-D102</f>
        <v>13.3</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M53"/>
  <sheetViews>
    <sheetView workbookViewId="0">
      <selection activeCell="A20" sqref="A20"/>
    </sheetView>
  </sheetViews>
  <sheetFormatPr defaultRowHeight="15" x14ac:dyDescent="0.25"/>
  <cols>
    <col min="2" max="2" width="20.28515625" customWidth="1"/>
    <col min="3" max="3" width="13.42578125" customWidth="1"/>
    <col min="4" max="4" width="13.28515625" bestFit="1" customWidth="1"/>
    <col min="5" max="5" width="8.5703125" customWidth="1"/>
    <col min="6" max="6" width="10.7109375" customWidth="1"/>
    <col min="7" max="7" width="9.7109375" customWidth="1"/>
    <col min="8" max="8" width="9.5703125" customWidth="1"/>
    <col min="10" max="10" width="15.42578125" customWidth="1"/>
    <col min="12" max="12" width="12.28515625" customWidth="1"/>
  </cols>
  <sheetData>
    <row r="3" spans="2:13" s="6" customFormat="1" ht="14.45" customHeight="1" x14ac:dyDescent="0.25">
      <c r="B3" s="96" t="s">
        <v>92</v>
      </c>
      <c r="C3" s="96" t="s">
        <v>93</v>
      </c>
      <c r="D3" s="96" t="s">
        <v>94</v>
      </c>
      <c r="E3" s="101" t="s">
        <v>152</v>
      </c>
      <c r="F3" s="101"/>
      <c r="G3" s="102" t="s">
        <v>153</v>
      </c>
      <c r="H3" s="102"/>
      <c r="I3" s="102"/>
    </row>
    <row r="4" spans="2:13" s="6" customFormat="1" ht="30" x14ac:dyDescent="0.25">
      <c r="B4" s="96"/>
      <c r="C4" s="96"/>
      <c r="D4" s="96"/>
      <c r="E4" s="8" t="s">
        <v>96</v>
      </c>
      <c r="F4" s="8" t="s">
        <v>97</v>
      </c>
      <c r="G4" s="8" t="s">
        <v>96</v>
      </c>
      <c r="H4" s="8" t="s">
        <v>98</v>
      </c>
      <c r="I4" s="8" t="s">
        <v>99</v>
      </c>
      <c r="J4" s="6" t="s">
        <v>110</v>
      </c>
      <c r="K4" s="6" t="s">
        <v>111</v>
      </c>
      <c r="L4" s="6" t="s">
        <v>112</v>
      </c>
      <c r="M4" s="6" t="s">
        <v>108</v>
      </c>
    </row>
    <row r="5" spans="2:13" x14ac:dyDescent="0.25">
      <c r="B5" s="91" t="s">
        <v>101</v>
      </c>
      <c r="C5" s="91" t="s">
        <v>102</v>
      </c>
      <c r="D5" s="7" t="s">
        <v>103</v>
      </c>
      <c r="E5" s="9">
        <v>5.8</v>
      </c>
      <c r="F5" s="9">
        <v>5.4</v>
      </c>
      <c r="G5" s="9">
        <v>6.2</v>
      </c>
      <c r="H5" s="14">
        <f>G5*(F5/E5)</f>
        <v>5.7724137931034489</v>
      </c>
      <c r="I5" s="9">
        <v>5.5</v>
      </c>
      <c r="J5" s="11" t="s">
        <v>155</v>
      </c>
      <c r="K5" s="11" t="s">
        <v>156</v>
      </c>
      <c r="L5" s="10"/>
      <c r="M5" t="s">
        <v>121</v>
      </c>
    </row>
    <row r="6" spans="2:13" x14ac:dyDescent="0.25">
      <c r="B6" s="92"/>
      <c r="C6" s="92"/>
      <c r="D6" s="7" t="s">
        <v>104</v>
      </c>
      <c r="E6" s="9">
        <v>8</v>
      </c>
      <c r="F6" s="9">
        <v>16</v>
      </c>
      <c r="G6" s="9">
        <v>9.3000000000000007</v>
      </c>
      <c r="H6" s="9">
        <v>14</v>
      </c>
      <c r="I6" s="9">
        <v>8.8000000000000007</v>
      </c>
      <c r="J6" s="11" t="s">
        <v>154</v>
      </c>
      <c r="K6" s="10" t="s">
        <v>114</v>
      </c>
      <c r="L6" s="10"/>
      <c r="M6" t="s">
        <v>113</v>
      </c>
    </row>
    <row r="7" spans="2:13" x14ac:dyDescent="0.25">
      <c r="B7" s="92"/>
      <c r="C7" s="92"/>
      <c r="D7" s="7" t="s">
        <v>105</v>
      </c>
      <c r="E7" s="9">
        <f>E5*0.15 + E6*0.85</f>
        <v>7.67</v>
      </c>
      <c r="F7" s="9">
        <f>F5*0.15 + F6*0.85</f>
        <v>14.41</v>
      </c>
      <c r="G7" s="9">
        <f t="shared" ref="G7:I7" si="0">G5*0.15 + G6*0.85</f>
        <v>8.8350000000000009</v>
      </c>
      <c r="H7" s="57">
        <f>H5*0.15 + H6*0.85</f>
        <v>12.765862068965518</v>
      </c>
      <c r="I7" s="9">
        <f t="shared" si="0"/>
        <v>8.3049999999999997</v>
      </c>
      <c r="J7" s="11" t="s">
        <v>117</v>
      </c>
      <c r="K7" s="10"/>
      <c r="L7" s="10"/>
      <c r="M7" t="s">
        <v>116</v>
      </c>
    </row>
    <row r="8" spans="2:13" x14ac:dyDescent="0.25">
      <c r="B8" s="92"/>
      <c r="C8" s="91" t="s">
        <v>106</v>
      </c>
      <c r="D8" s="7" t="s">
        <v>103</v>
      </c>
      <c r="E8" s="14">
        <f>E6*0.5</f>
        <v>4</v>
      </c>
      <c r="F8" s="9"/>
      <c r="G8" s="14">
        <f>G5*0.65</f>
        <v>4.03</v>
      </c>
      <c r="H8" s="9"/>
      <c r="I8" s="14">
        <f>I5*0.65</f>
        <v>3.5750000000000002</v>
      </c>
      <c r="J8" s="11"/>
      <c r="K8" s="10"/>
      <c r="L8" s="10"/>
      <c r="M8" t="s">
        <v>118</v>
      </c>
    </row>
    <row r="9" spans="2:13" x14ac:dyDescent="0.25">
      <c r="B9" s="92"/>
      <c r="C9" s="92"/>
      <c r="D9" s="7" t="s">
        <v>104</v>
      </c>
      <c r="E9" s="9">
        <f>E8*E6/E5</f>
        <v>5.5172413793103452</v>
      </c>
      <c r="F9" s="9"/>
      <c r="G9" s="14">
        <f>G6*0.65</f>
        <v>6.0450000000000008</v>
      </c>
      <c r="H9" s="9"/>
      <c r="I9" s="14">
        <f>I6*0.65</f>
        <v>5.7200000000000006</v>
      </c>
      <c r="J9" s="11"/>
      <c r="K9" s="10"/>
      <c r="L9" s="10"/>
    </row>
    <row r="10" spans="2:13" x14ac:dyDescent="0.25">
      <c r="B10" s="93"/>
      <c r="C10" s="92"/>
      <c r="D10" s="7" t="s">
        <v>105</v>
      </c>
      <c r="E10" s="9">
        <f>E8*0.15 + E9*0.85</f>
        <v>5.2896551724137932</v>
      </c>
      <c r="F10" s="9">
        <f t="shared" ref="F10" si="1">F8*0.15 + F9*0.85</f>
        <v>0</v>
      </c>
      <c r="G10" s="9">
        <f t="shared" ref="G10" si="2">G8*0.15 + G9*0.85</f>
        <v>5.74275</v>
      </c>
      <c r="H10" s="9">
        <f t="shared" ref="H10" si="3">H8*0.15 + H9*0.85</f>
        <v>0</v>
      </c>
      <c r="I10" s="9">
        <f t="shared" ref="I10" si="4">I8*0.15 + I9*0.85</f>
        <v>5.39825</v>
      </c>
      <c r="J10" s="11"/>
      <c r="K10" s="10"/>
      <c r="L10" s="10"/>
      <c r="M10" t="s">
        <v>116</v>
      </c>
    </row>
    <row r="11" spans="2:13" x14ac:dyDescent="0.25">
      <c r="B11" s="7" t="s">
        <v>157</v>
      </c>
      <c r="C11" s="7" t="s">
        <v>107</v>
      </c>
      <c r="D11" s="7" t="s">
        <v>107</v>
      </c>
      <c r="E11" s="9">
        <v>12.4</v>
      </c>
      <c r="F11" s="9"/>
      <c r="G11" s="9"/>
      <c r="H11" s="9"/>
      <c r="I11" s="9"/>
      <c r="J11" s="11"/>
      <c r="K11" s="10"/>
      <c r="L11" s="10" t="s">
        <v>109</v>
      </c>
    </row>
    <row r="12" spans="2:13" x14ac:dyDescent="0.25">
      <c r="B12" t="s">
        <v>119</v>
      </c>
    </row>
    <row r="13" spans="2:13" x14ac:dyDescent="0.25">
      <c r="B13" t="s">
        <v>120</v>
      </c>
      <c r="D13" s="13"/>
      <c r="E13" s="12"/>
      <c r="F13" s="12"/>
      <c r="G13" s="12"/>
      <c r="H13" s="12"/>
      <c r="I13" s="12"/>
    </row>
    <row r="14" spans="2:13" x14ac:dyDescent="0.25">
      <c r="B14" s="15" t="s">
        <v>122</v>
      </c>
    </row>
    <row r="15" spans="2:13" x14ac:dyDescent="0.25">
      <c r="B15" s="16" t="s">
        <v>123</v>
      </c>
    </row>
    <row r="16" spans="2:13" x14ac:dyDescent="0.25">
      <c r="B16" s="16" t="s">
        <v>124</v>
      </c>
    </row>
    <row r="17" spans="1:11" x14ac:dyDescent="0.25">
      <c r="B17" s="16" t="s">
        <v>125</v>
      </c>
    </row>
    <row r="18" spans="1:11" x14ac:dyDescent="0.25">
      <c r="B18" s="16" t="s">
        <v>126</v>
      </c>
    </row>
    <row r="19" spans="1:11" x14ac:dyDescent="0.25">
      <c r="A19">
        <f>8568</f>
        <v>8568</v>
      </c>
      <c r="B19" s="16" t="s">
        <v>143</v>
      </c>
    </row>
    <row r="20" spans="1:11" x14ac:dyDescent="0.25">
      <c r="A20">
        <f>12322-8568</f>
        <v>3754</v>
      </c>
      <c r="B20" s="16" t="s">
        <v>141</v>
      </c>
    </row>
    <row r="21" spans="1:11" x14ac:dyDescent="0.25">
      <c r="A21" s="26">
        <f>A19*D29</f>
        <v>1071</v>
      </c>
      <c r="B21" s="27" t="s">
        <v>142</v>
      </c>
      <c r="C21" t="s">
        <v>149</v>
      </c>
      <c r="I21">
        <v>536</v>
      </c>
      <c r="J21" t="s">
        <v>167</v>
      </c>
    </row>
    <row r="22" spans="1:11" x14ac:dyDescent="0.25">
      <c r="A22" s="26">
        <f>A19*D30</f>
        <v>1499.3999999999999</v>
      </c>
      <c r="B22" s="27" t="s">
        <v>158</v>
      </c>
      <c r="C22" t="s">
        <v>150</v>
      </c>
      <c r="I22">
        <f>A22/536</f>
        <v>2.7973880597014924</v>
      </c>
    </row>
    <row r="23" spans="1:11" x14ac:dyDescent="0.25">
      <c r="A23" s="25">
        <f>731.9-256</f>
        <v>475.9</v>
      </c>
      <c r="B23" s="16" t="s">
        <v>146</v>
      </c>
    </row>
    <row r="24" spans="1:11" x14ac:dyDescent="0.25">
      <c r="A24">
        <v>256</v>
      </c>
      <c r="B24" s="16" t="s">
        <v>147</v>
      </c>
    </row>
    <row r="25" spans="1:11" ht="15.75" thickBot="1" x14ac:dyDescent="0.3">
      <c r="B25" s="28" t="s">
        <v>127</v>
      </c>
    </row>
    <row r="26" spans="1:11" ht="15.75" thickBot="1" x14ac:dyDescent="0.3">
      <c r="C26" s="17"/>
      <c r="D26" s="94" t="s">
        <v>128</v>
      </c>
      <c r="E26" s="95"/>
      <c r="F26" s="94" t="s">
        <v>129</v>
      </c>
      <c r="G26" s="95"/>
      <c r="H26" s="99" t="s">
        <v>130</v>
      </c>
      <c r="I26" s="100"/>
      <c r="J26" s="99" t="s">
        <v>131</v>
      </c>
      <c r="K26" s="100"/>
    </row>
    <row r="27" spans="1:11" ht="15.75" thickBot="1" x14ac:dyDescent="0.3">
      <c r="C27" s="18" t="s">
        <v>132</v>
      </c>
      <c r="D27" s="19" t="s">
        <v>133</v>
      </c>
      <c r="E27" s="19" t="s">
        <v>134</v>
      </c>
      <c r="F27" s="19" t="s">
        <v>133</v>
      </c>
      <c r="G27" s="19" t="s">
        <v>135</v>
      </c>
      <c r="H27" s="24" t="s">
        <v>133</v>
      </c>
      <c r="I27" s="24" t="s">
        <v>136</v>
      </c>
      <c r="J27" s="24" t="s">
        <v>133</v>
      </c>
      <c r="K27" s="24" t="s">
        <v>136</v>
      </c>
    </row>
    <row r="28" spans="1:11" ht="15.75" thickBot="1" x14ac:dyDescent="0.3">
      <c r="C28" s="20" t="s">
        <v>137</v>
      </c>
      <c r="D28" s="23">
        <v>0.7</v>
      </c>
      <c r="E28" s="21">
        <v>18214</v>
      </c>
      <c r="F28" s="23">
        <v>0.34499999999999997</v>
      </c>
      <c r="G28" s="22">
        <v>285.5</v>
      </c>
      <c r="H28" s="23">
        <v>0.127</v>
      </c>
      <c r="I28" s="22">
        <v>18.46</v>
      </c>
      <c r="J28" s="23">
        <v>0.34499999999999997</v>
      </c>
      <c r="K28" s="22">
        <v>18.940000000000001</v>
      </c>
    </row>
    <row r="29" spans="1:11" ht="15.75" thickBot="1" x14ac:dyDescent="0.3">
      <c r="C29" s="20" t="s">
        <v>138</v>
      </c>
      <c r="D29" s="23">
        <v>0.125</v>
      </c>
      <c r="E29" s="21">
        <v>3249</v>
      </c>
      <c r="F29" s="23">
        <v>0.65500000000000003</v>
      </c>
      <c r="G29" s="22">
        <v>542.5</v>
      </c>
      <c r="H29" s="23">
        <v>0.873</v>
      </c>
      <c r="I29" s="22">
        <v>126.57</v>
      </c>
      <c r="J29" s="23">
        <v>0.65500000000000003</v>
      </c>
      <c r="K29" s="22">
        <v>36.020000000000003</v>
      </c>
    </row>
    <row r="30" spans="1:11" ht="15.75" thickBot="1" x14ac:dyDescent="0.3">
      <c r="C30" s="20" t="s">
        <v>139</v>
      </c>
      <c r="D30" s="23">
        <v>0.17499999999999999</v>
      </c>
      <c r="E30" s="21">
        <v>4546</v>
      </c>
      <c r="F30" s="23"/>
      <c r="G30" s="22"/>
      <c r="H30" s="23"/>
      <c r="I30" s="22"/>
      <c r="J30" s="23"/>
      <c r="K30" s="22"/>
    </row>
    <row r="31" spans="1:11" ht="15.75" thickBot="1" x14ac:dyDescent="0.3">
      <c r="C31" s="20" t="s">
        <v>140</v>
      </c>
      <c r="D31" s="23">
        <v>1</v>
      </c>
      <c r="E31" s="21">
        <v>26009</v>
      </c>
      <c r="F31" s="23">
        <v>1</v>
      </c>
      <c r="G31" s="22">
        <v>827.6</v>
      </c>
      <c r="H31" s="23">
        <v>1</v>
      </c>
      <c r="I31" s="22">
        <v>145.02000000000001</v>
      </c>
      <c r="J31" s="23">
        <v>1</v>
      </c>
      <c r="K31" s="22">
        <v>54.96</v>
      </c>
    </row>
    <row r="33" spans="1:11" x14ac:dyDescent="0.25">
      <c r="B33" t="s">
        <v>145</v>
      </c>
    </row>
    <row r="34" spans="1:11" x14ac:dyDescent="0.25">
      <c r="B34" t="s">
        <v>144</v>
      </c>
    </row>
    <row r="35" spans="1:11" x14ac:dyDescent="0.25">
      <c r="B35" t="s">
        <v>159</v>
      </c>
    </row>
    <row r="36" spans="1:11" x14ac:dyDescent="0.25">
      <c r="A36" s="32">
        <f>0.31</f>
        <v>0.31</v>
      </c>
      <c r="B36" t="s">
        <v>148</v>
      </c>
    </row>
    <row r="38" spans="1:11" x14ac:dyDescent="0.25">
      <c r="B38" s="96" t="s">
        <v>160</v>
      </c>
      <c r="C38" s="96" t="s">
        <v>93</v>
      </c>
      <c r="D38" s="103"/>
      <c r="E38" s="101" t="s">
        <v>100</v>
      </c>
      <c r="F38" s="101"/>
      <c r="G38" s="102" t="s">
        <v>95</v>
      </c>
      <c r="H38" s="102"/>
      <c r="I38" s="102"/>
    </row>
    <row r="39" spans="1:11" ht="30" x14ac:dyDescent="0.25">
      <c r="B39" s="96"/>
      <c r="C39" s="96"/>
      <c r="D39" s="103"/>
      <c r="E39" s="8" t="s">
        <v>96</v>
      </c>
      <c r="F39" s="8" t="s">
        <v>97</v>
      </c>
      <c r="G39" s="8" t="s">
        <v>96</v>
      </c>
      <c r="H39" s="8" t="s">
        <v>98</v>
      </c>
      <c r="I39" s="8" t="s">
        <v>99</v>
      </c>
      <c r="K39" s="33" t="s">
        <v>165</v>
      </c>
    </row>
    <row r="40" spans="1:11" x14ac:dyDescent="0.25">
      <c r="B40" s="97"/>
      <c r="C40" s="29" t="s">
        <v>102</v>
      </c>
      <c r="D40" s="31"/>
      <c r="E40" s="9">
        <v>1661</v>
      </c>
      <c r="F40" s="57"/>
      <c r="G40" s="9">
        <f>(5369-E40)*A36</f>
        <v>1149.48</v>
      </c>
      <c r="H40" s="57"/>
      <c r="I40" s="9">
        <f>I41*(E40/E41)</f>
        <v>581.18955393407134</v>
      </c>
      <c r="J40">
        <v>73</v>
      </c>
      <c r="K40" t="s">
        <v>164</v>
      </c>
    </row>
    <row r="41" spans="1:11" x14ac:dyDescent="0.25">
      <c r="B41" s="98"/>
      <c r="C41" s="29" t="s">
        <v>106</v>
      </c>
      <c r="D41" s="31"/>
      <c r="E41" s="30">
        <f>(E42-(0.855*E40))/0.145</f>
        <v>546.51724137930967</v>
      </c>
      <c r="F41" s="57"/>
      <c r="G41" s="30">
        <f>(G42-(0.855*G40))/0.145</f>
        <v>608.23862068965548</v>
      </c>
      <c r="H41" s="57"/>
      <c r="I41" s="30">
        <f>I42/((E40/E41)*0.73 + 0.27)</f>
        <v>191.2282430671404</v>
      </c>
      <c r="J41">
        <v>27</v>
      </c>
      <c r="K41" t="s">
        <v>166</v>
      </c>
    </row>
    <row r="42" spans="1:11" x14ac:dyDescent="0.25">
      <c r="B42" s="31"/>
      <c r="C42" s="7" t="s">
        <v>107</v>
      </c>
      <c r="D42" s="31"/>
      <c r="E42" s="9">
        <f>A22</f>
        <v>1499.3999999999999</v>
      </c>
      <c r="F42" s="57"/>
      <c r="G42" s="9">
        <f>A21</f>
        <v>1071</v>
      </c>
      <c r="H42" s="57"/>
      <c r="I42" s="9">
        <f>A23</f>
        <v>475.9</v>
      </c>
      <c r="K42">
        <f>6564-5461</f>
        <v>1103</v>
      </c>
    </row>
    <row r="43" spans="1:11" x14ac:dyDescent="0.25">
      <c r="B43" t="s">
        <v>163</v>
      </c>
    </row>
    <row r="45" spans="1:11" x14ac:dyDescent="0.25">
      <c r="B45" s="96" t="s">
        <v>92</v>
      </c>
      <c r="C45" s="96" t="s">
        <v>93</v>
      </c>
      <c r="D45" s="96" t="s">
        <v>94</v>
      </c>
      <c r="E45" s="101" t="s">
        <v>161</v>
      </c>
      <c r="F45" s="101"/>
      <c r="G45" s="102" t="s">
        <v>162</v>
      </c>
      <c r="H45" s="102"/>
      <c r="I45" s="102"/>
    </row>
    <row r="46" spans="1:11" ht="30" x14ac:dyDescent="0.25">
      <c r="B46" s="96"/>
      <c r="C46" s="96"/>
      <c r="D46" s="96"/>
      <c r="E46" s="8" t="s">
        <v>96</v>
      </c>
      <c r="F46" s="8" t="s">
        <v>97</v>
      </c>
      <c r="G46" s="8" t="s">
        <v>96</v>
      </c>
      <c r="H46" s="8" t="s">
        <v>98</v>
      </c>
      <c r="I46" s="8" t="s">
        <v>99</v>
      </c>
    </row>
    <row r="47" spans="1:11" x14ac:dyDescent="0.25">
      <c r="B47" s="91" t="s">
        <v>101</v>
      </c>
      <c r="C47" s="91" t="s">
        <v>102</v>
      </c>
      <c r="D47" s="7" t="s">
        <v>103</v>
      </c>
      <c r="E47" s="9">
        <f>E5*$E$40/100</f>
        <v>96.337999999999994</v>
      </c>
      <c r="F47" s="57"/>
      <c r="G47" s="9">
        <f>G5*$E$40/100</f>
        <v>102.98200000000001</v>
      </c>
      <c r="H47" s="57"/>
      <c r="I47" s="9">
        <f>I5*$E$40/100</f>
        <v>91.355000000000004</v>
      </c>
    </row>
    <row r="48" spans="1:11" x14ac:dyDescent="0.25">
      <c r="B48" s="92"/>
      <c r="C48" s="92"/>
      <c r="D48" s="7" t="s">
        <v>104</v>
      </c>
      <c r="E48" s="9">
        <f>E6*$E$40/100</f>
        <v>132.88</v>
      </c>
      <c r="F48" s="57"/>
      <c r="G48" s="9">
        <f t="shared" ref="G48:G49" si="5">G6*$E$40/100</f>
        <v>154.47300000000001</v>
      </c>
      <c r="H48" s="57"/>
      <c r="I48" s="9">
        <f t="shared" ref="I48:I49" si="6">I6*$E$40/100</f>
        <v>146.16800000000001</v>
      </c>
    </row>
    <row r="49" spans="2:9" x14ac:dyDescent="0.25">
      <c r="B49" s="92"/>
      <c r="C49" s="92"/>
      <c r="D49" s="7" t="s">
        <v>105</v>
      </c>
      <c r="E49" s="9">
        <f t="shared" ref="E49" si="7">E7*$E$40/100</f>
        <v>127.39869999999999</v>
      </c>
      <c r="F49" s="57"/>
      <c r="G49" s="9">
        <f t="shared" si="5"/>
        <v>146.74935000000002</v>
      </c>
      <c r="H49" s="57"/>
      <c r="I49" s="9">
        <f t="shared" si="6"/>
        <v>137.94604999999999</v>
      </c>
    </row>
    <row r="50" spans="2:9" x14ac:dyDescent="0.25">
      <c r="B50" s="92"/>
      <c r="C50" s="91" t="s">
        <v>106</v>
      </c>
      <c r="D50" s="7" t="s">
        <v>103</v>
      </c>
      <c r="E50" s="30">
        <f>E8*$E$41/100</f>
        <v>21.860689655172386</v>
      </c>
      <c r="F50" s="57"/>
      <c r="G50" s="30">
        <f>G8*$E$41/100</f>
        <v>22.024644827586179</v>
      </c>
      <c r="H50" s="57"/>
      <c r="I50" s="30">
        <f>I8*$E$41/100</f>
        <v>19.537991379310323</v>
      </c>
    </row>
    <row r="51" spans="2:9" x14ac:dyDescent="0.25">
      <c r="B51" s="92"/>
      <c r="C51" s="92"/>
      <c r="D51" s="7" t="s">
        <v>104</v>
      </c>
      <c r="E51" s="30">
        <f t="shared" ref="E51:E52" si="8">E9*$E$41/100</f>
        <v>30.152675386444674</v>
      </c>
      <c r="F51" s="57"/>
      <c r="G51" s="30">
        <f t="shared" ref="G51:G52" si="9">G9*$E$41/100</f>
        <v>33.036967241379273</v>
      </c>
      <c r="H51" s="57"/>
      <c r="I51" s="30">
        <f t="shared" ref="I51:I52" si="10">I9*$E$41/100</f>
        <v>31.260786206896515</v>
      </c>
    </row>
    <row r="52" spans="2:9" x14ac:dyDescent="0.25">
      <c r="B52" s="93"/>
      <c r="C52" s="92"/>
      <c r="D52" s="7" t="s">
        <v>105</v>
      </c>
      <c r="E52" s="30">
        <f t="shared" si="8"/>
        <v>28.90887752675383</v>
      </c>
      <c r="F52" s="57"/>
      <c r="G52" s="30">
        <f t="shared" si="9"/>
        <v>31.385118879310308</v>
      </c>
      <c r="H52" s="57"/>
      <c r="I52" s="30">
        <f t="shared" si="10"/>
        <v>29.502366982758584</v>
      </c>
    </row>
    <row r="53" spans="2:9" x14ac:dyDescent="0.25">
      <c r="B53" s="7" t="s">
        <v>157</v>
      </c>
      <c r="C53" s="7" t="s">
        <v>107</v>
      </c>
      <c r="D53" s="7" t="s">
        <v>107</v>
      </c>
      <c r="E53" s="9">
        <f>E11*E42/100</f>
        <v>185.92559999999997</v>
      </c>
      <c r="F53" s="57"/>
      <c r="G53" s="9">
        <f>G11*G42/100</f>
        <v>0</v>
      </c>
      <c r="H53" s="57"/>
      <c r="I53" s="9">
        <f>I11*I42/100</f>
        <v>0</v>
      </c>
    </row>
  </sheetData>
  <mergeCells count="26">
    <mergeCell ref="B3:B4"/>
    <mergeCell ref="C3:C4"/>
    <mergeCell ref="D3:D4"/>
    <mergeCell ref="E3:F3"/>
    <mergeCell ref="G3:I3"/>
    <mergeCell ref="J26:K26"/>
    <mergeCell ref="B45:B46"/>
    <mergeCell ref="C45:C46"/>
    <mergeCell ref="D45:D46"/>
    <mergeCell ref="E45:F45"/>
    <mergeCell ref="G45:I45"/>
    <mergeCell ref="D38:D39"/>
    <mergeCell ref="E38:F38"/>
    <mergeCell ref="G38:I38"/>
    <mergeCell ref="H26:I26"/>
    <mergeCell ref="B47:B52"/>
    <mergeCell ref="C47:C49"/>
    <mergeCell ref="C50:C52"/>
    <mergeCell ref="B38:B39"/>
    <mergeCell ref="C38:C39"/>
    <mergeCell ref="B40:B41"/>
    <mergeCell ref="B5:B10"/>
    <mergeCell ref="C5:C7"/>
    <mergeCell ref="C8:C10"/>
    <mergeCell ref="D26:E26"/>
    <mergeCell ref="F26:G2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Studies Summary</vt:lpstr>
      <vt:lpstr>TABLE Redux</vt:lpstr>
      <vt:lpstr>Tables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Loper, Joe</dc:creator>
  <cp:lastModifiedBy>Bret Hamilton</cp:lastModifiedBy>
  <dcterms:created xsi:type="dcterms:W3CDTF">2017-01-23T17:33:15Z</dcterms:created>
  <dcterms:modified xsi:type="dcterms:W3CDTF">2018-04-30T23:29:12Z</dcterms:modified>
</cp:coreProperties>
</file>