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K:\MD_PSC\P12296-MD_PSC\ResHVAC MCS\"/>
    </mc:Choice>
  </mc:AlternateContent>
  <bookViews>
    <workbookView xWindow="0" yWindow="0" windowWidth="20496" windowHeight="7536" tabRatio="939" activeTab="5"/>
  </bookViews>
  <sheets>
    <sheet name="TRM_MCS_measures" sheetId="2" r:id="rId1"/>
    <sheet name="BGE_Rebate_Measure_Costs" sheetId="101" r:id="rId2"/>
    <sheet name="Itron_CA_IOU_LEDYxZLuminaires" sheetId="65" r:id="rId3"/>
    <sheet name="Itron_CA_IOU_RefCaseLED" sheetId="93" r:id="rId4"/>
    <sheet name="Itron_CA_IOU_OutdoorLED" sheetId="106" r:id="rId5"/>
    <sheet name="Itron_CA_IOU_LEDHigh&amp;LowBay" sheetId="108" r:id="rId6"/>
    <sheet name="Itron_CA_IOU_RcssdDwnLght_LED" sheetId="104" r:id="rId7"/>
    <sheet name="Itron_CA_IOU_ScrewBasedLED" sheetId="102" r:id="rId8"/>
    <sheet name="Itron_CA_IOU_LEDFlood" sheetId="105" r:id="rId9"/>
    <sheet name="Labor Adjustment" sheetId="90" r:id="rId10"/>
    <sheet name="Inflation" sheetId="15" r:id="rId11"/>
    <sheet name="MidA_LED_Ext_Luminaire_IMC" sheetId="64" r:id="rId12"/>
    <sheet name="MidA_TRM_Res_SB_LED_IMC" sheetId="62" r:id="rId13"/>
    <sheet name="MidA_OD_Area_Road_LED_IMC" sheetId="63" r:id="rId14"/>
    <sheet name="RTF_Res_Screw_In_Lamps" sheetId="48" r:id="rId15"/>
    <sheet name="NavigantLEDRefrigCase_IMC" sheetId="60" r:id="rId16"/>
    <sheet name="NavigantCommLtgCont_IMC" sheetId="41" r:id="rId17"/>
  </sheets>
  <externalReferences>
    <externalReference r:id="rId18"/>
    <externalReference r:id="rId19"/>
    <externalReference r:id="rId20"/>
    <externalReference r:id="rId21"/>
  </externalReferences>
  <definedNames>
    <definedName name="_ednref1" localSheetId="2">Itron_CA_IOU_LEDYxZLuminaires!$D$63</definedName>
    <definedName name="_xlnm._FilterDatabase" localSheetId="14" hidden="1">RTF_Res_Screw_In_Lamps!$A$1:$R$85</definedName>
    <definedName name="_xlnm._FilterDatabase" localSheetId="0" hidden="1">TRM_MCS_measures!$A$2:$L$13</definedName>
    <definedName name="_ftn1" localSheetId="0">TRM_MCS_measures!#REF!</definedName>
    <definedName name="_ftn2" localSheetId="0">TRM_MCS_measures!#REF!</definedName>
    <definedName name="_ftnref1" localSheetId="0">TRM_MCS_measures!#REF!</definedName>
    <definedName name="_ftnref2" localSheetId="0">TRM_MCS_measures!#REF!</definedName>
    <definedName name="_Ref257260142" localSheetId="0">TRM_MCS_measures!#REF!</definedName>
    <definedName name="_Toc324318376" localSheetId="2">Itron_CA_IOU_LEDYxZLuminaires!$A$78</definedName>
    <definedName name="_Toc383697822" localSheetId="2">Itron_CA_IOU_LEDYxZLuminaires!$A$58</definedName>
    <definedName name="_Toc415125978" localSheetId="1">BGE_Rebate_Measure_Costs!$A$29</definedName>
    <definedName name="_Toc415125980" localSheetId="1">BGE_Rebate_Measure_Costs!$A$3</definedName>
    <definedName name="_Toc415125981" localSheetId="1">BGE_Rebate_Measure_Costs!$A$23</definedName>
    <definedName name="_Toc449959906" localSheetId="1">BGE_Rebate_Measure_Costs!$A$15</definedName>
    <definedName name="_Toc452713786" localSheetId="2">Itron_CA_IOU_LEDYxZLuminaires!$A$23</definedName>
    <definedName name="_Toc452713787" localSheetId="2">Itron_CA_IOU_LEDYxZLuminaires!$A$25</definedName>
    <definedName name="_Toc452713788" localSheetId="2">Itron_CA_IOU_LEDYxZLuminaires!$A$32</definedName>
    <definedName name="_Toc452713789" localSheetId="2">Itron_CA_IOU_LEDYxZLuminaires!$A$49</definedName>
    <definedName name="_Toc452713791" localSheetId="2">Itron_CA_IOU_LEDYxZLuminaires!$A$79</definedName>
    <definedName name="_Toc452713799" localSheetId="2">Itron_CA_IOU_LEDYxZLuminaires!$A$28</definedName>
    <definedName name="_Toc452713800" localSheetId="2">Itron_CA_IOU_LEDYxZLuminaires!$A$35</definedName>
    <definedName name="_Toc452713801" localSheetId="2">Itron_CA_IOU_LEDYxZLuminaires!$A$77</definedName>
    <definedName name="_Toc452713802" localSheetId="2">Itron_CA_IOU_LEDYxZLuminaires!$A$83</definedName>
    <definedName name="Baseline">[1]ValidationLists!$F$4:$F$6</definedName>
    <definedName name="Capacity_Merged">'[2]EER vs Price - 2005'!$U$18</definedName>
    <definedName name="CostDataSourceTypes">[3]ValidationLists!$A$2:$A$12</definedName>
    <definedName name="EER_Merged">'[2]EER vs Price - 2005'!$U$19</definedName>
    <definedName name="Intercept_Merged">'[2]EER vs Price - 2005'!$U$17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7" i="105" l="1"/>
  <c r="Q48" i="105"/>
  <c r="Q49" i="105"/>
  <c r="Q46" i="105"/>
  <c r="Q40" i="105"/>
  <c r="Q9" i="105"/>
  <c r="Q10" i="105"/>
  <c r="Q11" i="105"/>
  <c r="Q12" i="105"/>
  <c r="Q13" i="105"/>
  <c r="Q14" i="105"/>
  <c r="Q15" i="105"/>
  <c r="Q16" i="105"/>
  <c r="Q17" i="105"/>
  <c r="Q18" i="105"/>
  <c r="Q19" i="105"/>
  <c r="Q20" i="105"/>
  <c r="Q21" i="105"/>
  <c r="Q22" i="105"/>
  <c r="Q23" i="105"/>
  <c r="Q24" i="105"/>
  <c r="Q25" i="105"/>
  <c r="Q26" i="105"/>
  <c r="Q27" i="105"/>
  <c r="Q28" i="105"/>
  <c r="Q29" i="105"/>
  <c r="Q30" i="105"/>
  <c r="Q31" i="105"/>
  <c r="Q32" i="105"/>
  <c r="Q33" i="105"/>
  <c r="Q34" i="105"/>
  <c r="Q35" i="105"/>
  <c r="Q36" i="105"/>
  <c r="Q37" i="105"/>
  <c r="Q38" i="105"/>
  <c r="Q39" i="105"/>
  <c r="Q8" i="105"/>
  <c r="K8" i="105" s="1"/>
  <c r="R34" i="102"/>
  <c r="R35" i="102"/>
  <c r="R36" i="102"/>
  <c r="R37" i="102"/>
  <c r="R38" i="102"/>
  <c r="R39" i="102"/>
  <c r="R40" i="102"/>
  <c r="R41" i="102"/>
  <c r="R42" i="102"/>
  <c r="R43" i="102"/>
  <c r="R44" i="102"/>
  <c r="R45" i="102"/>
  <c r="R46" i="102"/>
  <c r="R47" i="102"/>
  <c r="R48" i="102"/>
  <c r="R49" i="102"/>
  <c r="R50" i="102"/>
  <c r="R51" i="102"/>
  <c r="R52" i="102"/>
  <c r="R53" i="102"/>
  <c r="R54" i="102"/>
  <c r="R55" i="102"/>
  <c r="R56" i="102"/>
  <c r="R57" i="102"/>
  <c r="R58" i="102"/>
  <c r="R59" i="102"/>
  <c r="R60" i="102"/>
  <c r="R61" i="102"/>
  <c r="R62" i="102"/>
  <c r="R63" i="102"/>
  <c r="R33" i="102"/>
  <c r="R27" i="102"/>
  <c r="R26" i="102"/>
  <c r="R15" i="102"/>
  <c r="R16" i="102"/>
  <c r="R17" i="102"/>
  <c r="R18" i="102"/>
  <c r="R19" i="102"/>
  <c r="R20" i="102"/>
  <c r="R14" i="102"/>
  <c r="L14" i="102" s="1"/>
  <c r="Q14" i="102"/>
  <c r="Q6" i="104"/>
  <c r="K6" i="104" s="1"/>
  <c r="K16" i="104"/>
  <c r="Q16" i="104"/>
  <c r="Q17" i="104"/>
  <c r="Q18" i="104"/>
  <c r="Q19" i="104"/>
  <c r="Q7" i="104"/>
  <c r="Q8" i="104"/>
  <c r="U11" i="108"/>
  <c r="O11" i="108" s="1"/>
  <c r="Q27" i="108"/>
  <c r="K27" i="108" s="1"/>
  <c r="K2" i="108" s="1"/>
  <c r="R27" i="108"/>
  <c r="K12" i="106"/>
  <c r="U12" i="108"/>
  <c r="U13" i="108"/>
  <c r="U14" i="108"/>
  <c r="U15" i="108"/>
  <c r="U16" i="108"/>
  <c r="U17" i="108"/>
  <c r="U18" i="108"/>
  <c r="U19" i="108"/>
  <c r="U20" i="108"/>
  <c r="U21" i="108"/>
  <c r="U22" i="108"/>
  <c r="V11" i="108"/>
  <c r="Q28" i="108"/>
  <c r="Q29" i="108"/>
  <c r="Q30" i="108"/>
  <c r="Q31" i="108"/>
  <c r="Q32" i="108"/>
  <c r="Q33" i="108"/>
  <c r="Q34" i="108"/>
  <c r="Q35" i="108"/>
  <c r="Q36" i="108"/>
  <c r="Q37" i="108"/>
  <c r="Q38" i="108"/>
  <c r="Q39" i="108"/>
  <c r="Q40" i="108"/>
  <c r="Q41" i="108"/>
  <c r="Q42" i="108"/>
  <c r="Q43" i="108"/>
  <c r="Q44" i="108"/>
  <c r="Q45" i="108"/>
  <c r="Q46" i="108"/>
  <c r="K40" i="106"/>
  <c r="K41" i="106"/>
  <c r="K42" i="106"/>
  <c r="K43" i="106"/>
  <c r="K44" i="106"/>
  <c r="K45" i="106"/>
  <c r="K46" i="106"/>
  <c r="K47" i="106"/>
  <c r="K48" i="106"/>
  <c r="K49" i="106"/>
  <c r="K50" i="106"/>
  <c r="K51" i="106"/>
  <c r="K52" i="106"/>
  <c r="K39" i="106"/>
  <c r="Q39" i="106"/>
  <c r="Q40" i="106"/>
  <c r="Q41" i="106"/>
  <c r="Q42" i="106"/>
  <c r="Q43" i="106"/>
  <c r="Q44" i="106"/>
  <c r="Q45" i="106"/>
  <c r="Q46" i="106"/>
  <c r="Q47" i="106"/>
  <c r="Q48" i="106"/>
  <c r="Q49" i="106"/>
  <c r="Q50" i="106"/>
  <c r="Q51" i="106"/>
  <c r="Q52" i="106"/>
  <c r="K34" i="106"/>
  <c r="K13" i="106"/>
  <c r="K14" i="106"/>
  <c r="K15" i="106"/>
  <c r="K16" i="106"/>
  <c r="K17" i="106"/>
  <c r="K18" i="106"/>
  <c r="K19" i="106"/>
  <c r="K20" i="106"/>
  <c r="K21" i="106"/>
  <c r="K22" i="106"/>
  <c r="K23" i="106"/>
  <c r="K24" i="106"/>
  <c r="K25" i="106"/>
  <c r="K26" i="106"/>
  <c r="K27" i="106"/>
  <c r="K28" i="106"/>
  <c r="K29" i="106"/>
  <c r="K30" i="106"/>
  <c r="K31" i="106"/>
  <c r="K32" i="106"/>
  <c r="K33" i="106"/>
  <c r="H12" i="106"/>
  <c r="I4" i="93"/>
  <c r="L11" i="65"/>
  <c r="L12" i="65"/>
  <c r="L13" i="65"/>
  <c r="L14" i="65"/>
  <c r="L15" i="65"/>
  <c r="L10" i="65"/>
  <c r="L4" i="65"/>
  <c r="L5" i="65"/>
  <c r="L6" i="65"/>
  <c r="L7" i="65"/>
  <c r="L8" i="65"/>
  <c r="L3" i="65"/>
  <c r="K2" i="106" l="1"/>
  <c r="J2" i="105"/>
  <c r="L2" i="105"/>
  <c r="J3" i="105"/>
  <c r="L3" i="105"/>
  <c r="J4" i="105"/>
  <c r="L4" i="105"/>
  <c r="I4" i="105"/>
  <c r="I3" i="105"/>
  <c r="I2" i="105"/>
  <c r="V9" i="93" l="1"/>
  <c r="U9" i="93"/>
  <c r="Z46" i="105" l="1"/>
  <c r="AA46" i="105" s="1"/>
  <c r="Y46" i="105"/>
  <c r="Z47" i="105"/>
  <c r="Z48" i="105"/>
  <c r="AA48" i="105" s="1"/>
  <c r="Z49" i="105"/>
  <c r="Z9" i="105"/>
  <c r="Z10" i="105"/>
  <c r="Z11" i="105"/>
  <c r="Z12" i="105"/>
  <c r="Z13" i="105"/>
  <c r="Z14" i="105"/>
  <c r="Z15" i="105"/>
  <c r="Z16" i="105"/>
  <c r="Z17" i="105"/>
  <c r="Z18" i="105"/>
  <c r="Z19" i="105"/>
  <c r="Z20" i="105"/>
  <c r="Z21" i="105"/>
  <c r="Z22" i="105"/>
  <c r="Z23" i="105"/>
  <c r="Z24" i="105"/>
  <c r="Z25" i="105"/>
  <c r="Z26" i="105"/>
  <c r="Z27" i="105"/>
  <c r="Z28" i="105"/>
  <c r="Z29" i="105"/>
  <c r="Z30" i="105"/>
  <c r="Z31" i="105"/>
  <c r="Z32" i="105"/>
  <c r="Z33" i="105"/>
  <c r="Z34" i="105"/>
  <c r="Z35" i="105"/>
  <c r="Z36" i="105"/>
  <c r="Z37" i="105"/>
  <c r="Z38" i="105"/>
  <c r="Z39" i="105"/>
  <c r="Z40" i="105"/>
  <c r="Z8" i="105"/>
  <c r="AA8" i="105" s="1"/>
  <c r="N8" i="105" s="1"/>
  <c r="AC9" i="93"/>
  <c r="P9" i="93"/>
  <c r="J9" i="93" s="1"/>
  <c r="U10" i="65"/>
  <c r="V10" i="65" s="1"/>
  <c r="V13" i="65"/>
  <c r="N10" i="65"/>
  <c r="R10" i="65"/>
  <c r="U3" i="65"/>
  <c r="V3" i="65" s="1"/>
  <c r="N3" i="65"/>
  <c r="U11" i="65"/>
  <c r="V11" i="65" s="1"/>
  <c r="U12" i="65"/>
  <c r="V12" i="65" s="1"/>
  <c r="U13" i="65"/>
  <c r="U14" i="65"/>
  <c r="V14" i="65" s="1"/>
  <c r="U15" i="65"/>
  <c r="V15" i="65" s="1"/>
  <c r="U4" i="65"/>
  <c r="U5" i="65"/>
  <c r="U6" i="65"/>
  <c r="U7" i="65"/>
  <c r="U8" i="65"/>
  <c r="M3" i="65"/>
  <c r="AA49" i="105" l="1"/>
  <c r="AA47" i="105"/>
  <c r="AA40" i="105"/>
  <c r="AA39" i="105"/>
  <c r="AA38" i="105"/>
  <c r="AA37" i="105"/>
  <c r="AA36" i="105"/>
  <c r="AA35" i="105"/>
  <c r="AA34" i="105"/>
  <c r="AA33" i="105"/>
  <c r="AA32" i="105"/>
  <c r="AA31" i="105"/>
  <c r="AA30" i="105"/>
  <c r="AA29" i="105"/>
  <c r="AA28" i="105"/>
  <c r="AA27" i="105"/>
  <c r="AA26" i="105"/>
  <c r="AA25" i="105"/>
  <c r="AA24" i="105"/>
  <c r="AA23" i="105"/>
  <c r="AA22" i="105"/>
  <c r="AA21" i="105"/>
  <c r="AA20" i="105"/>
  <c r="AA19" i="105"/>
  <c r="AA18" i="105"/>
  <c r="AA17" i="105"/>
  <c r="AA16" i="105"/>
  <c r="AA15" i="105"/>
  <c r="AA14" i="105"/>
  <c r="AA13" i="105"/>
  <c r="AA12" i="105"/>
  <c r="AA11" i="105"/>
  <c r="AA10" i="105"/>
  <c r="AA9" i="105"/>
  <c r="P46" i="108"/>
  <c r="P45" i="108"/>
  <c r="P44" i="108"/>
  <c r="P43" i="108"/>
  <c r="P42" i="108"/>
  <c r="P41" i="108"/>
  <c r="P40" i="108"/>
  <c r="P39" i="108"/>
  <c r="P38" i="108"/>
  <c r="P37" i="108"/>
  <c r="P36" i="108"/>
  <c r="P35" i="108"/>
  <c r="P34" i="108"/>
  <c r="P33" i="108"/>
  <c r="P32" i="108"/>
  <c r="P31" i="108"/>
  <c r="P30" i="108"/>
  <c r="P29" i="108"/>
  <c r="P28" i="108"/>
  <c r="P27" i="108"/>
  <c r="O46" i="108"/>
  <c r="O45" i="108"/>
  <c r="O44" i="108"/>
  <c r="O43" i="108"/>
  <c r="O42" i="108"/>
  <c r="O41" i="108"/>
  <c r="O40" i="108"/>
  <c r="O39" i="108"/>
  <c r="O38" i="108"/>
  <c r="O37" i="108"/>
  <c r="O36" i="108"/>
  <c r="O35" i="108"/>
  <c r="O34" i="108"/>
  <c r="O33" i="108"/>
  <c r="O32" i="108"/>
  <c r="O31" i="108"/>
  <c r="O30" i="108"/>
  <c r="O29" i="108"/>
  <c r="O28" i="108"/>
  <c r="O27" i="108"/>
  <c r="AD21" i="93"/>
  <c r="AD20" i="93"/>
  <c r="AD19" i="93"/>
  <c r="AD18" i="93"/>
  <c r="AD12" i="93"/>
  <c r="AD11" i="93"/>
  <c r="AD10" i="93"/>
  <c r="AD9" i="93"/>
  <c r="V8" i="65"/>
  <c r="V7" i="65"/>
  <c r="V6" i="65"/>
  <c r="V5" i="65"/>
  <c r="V4" i="65"/>
  <c r="O16" i="101" l="1"/>
  <c r="N16" i="101"/>
  <c r="M16" i="101"/>
  <c r="L16" i="101"/>
  <c r="J12" i="65" l="1"/>
  <c r="S14" i="106"/>
  <c r="F12" i="106"/>
  <c r="X46" i="108" l="1"/>
  <c r="V46" i="108"/>
  <c r="W46" i="108" s="1"/>
  <c r="K46" i="108"/>
  <c r="S46" i="108"/>
  <c r="X45" i="108"/>
  <c r="V45" i="108"/>
  <c r="W45" i="108" s="1"/>
  <c r="Y45" i="108" s="1"/>
  <c r="Z45" i="108" s="1"/>
  <c r="K45" i="108"/>
  <c r="X44" i="108"/>
  <c r="V44" i="108"/>
  <c r="W44" i="108" s="1"/>
  <c r="S44" i="108"/>
  <c r="K44" i="108"/>
  <c r="X43" i="108"/>
  <c r="V43" i="108"/>
  <c r="W43" i="108" s="1"/>
  <c r="K43" i="108"/>
  <c r="I43" i="108"/>
  <c r="X42" i="108"/>
  <c r="V42" i="108"/>
  <c r="W42" i="108" s="1"/>
  <c r="K42" i="108"/>
  <c r="I42" i="108"/>
  <c r="X41" i="108"/>
  <c r="V41" i="108"/>
  <c r="W41" i="108" s="1"/>
  <c r="Y41" i="108" s="1"/>
  <c r="Z41" i="108" s="1"/>
  <c r="K41" i="108"/>
  <c r="X40" i="108"/>
  <c r="V40" i="108"/>
  <c r="W40" i="108" s="1"/>
  <c r="K40" i="108"/>
  <c r="X39" i="108"/>
  <c r="V39" i="108"/>
  <c r="W39" i="108" s="1"/>
  <c r="K39" i="108"/>
  <c r="X38" i="108"/>
  <c r="V38" i="108"/>
  <c r="W38" i="108" s="1"/>
  <c r="Y38" i="108" s="1"/>
  <c r="Z38" i="108" s="1"/>
  <c r="K38" i="108"/>
  <c r="I38" i="108"/>
  <c r="X37" i="108"/>
  <c r="V37" i="108"/>
  <c r="W37" i="108" s="1"/>
  <c r="Y37" i="108" s="1"/>
  <c r="Z37" i="108" s="1"/>
  <c r="K37" i="108"/>
  <c r="X36" i="108"/>
  <c r="V36" i="108"/>
  <c r="W36" i="108" s="1"/>
  <c r="K36" i="108"/>
  <c r="X35" i="108"/>
  <c r="V35" i="108"/>
  <c r="W35" i="108" s="1"/>
  <c r="Y35" i="108" s="1"/>
  <c r="Z35" i="108" s="1"/>
  <c r="K35" i="108"/>
  <c r="S35" i="108"/>
  <c r="X34" i="108"/>
  <c r="V34" i="108"/>
  <c r="W34" i="108" s="1"/>
  <c r="Y34" i="108" s="1"/>
  <c r="Z34" i="108" s="1"/>
  <c r="K34" i="108"/>
  <c r="S34" i="108"/>
  <c r="X33" i="108"/>
  <c r="V33" i="108"/>
  <c r="W33" i="108" s="1"/>
  <c r="Y33" i="108" s="1"/>
  <c r="Z33" i="108" s="1"/>
  <c r="K33" i="108"/>
  <c r="X32" i="108"/>
  <c r="V32" i="108"/>
  <c r="W32" i="108" s="1"/>
  <c r="S32" i="108"/>
  <c r="K32" i="108"/>
  <c r="X31" i="108"/>
  <c r="V31" i="108"/>
  <c r="W31" i="108" s="1"/>
  <c r="K31" i="108"/>
  <c r="I31" i="108"/>
  <c r="X30" i="108"/>
  <c r="V30" i="108"/>
  <c r="W30" i="108" s="1"/>
  <c r="I30" i="108"/>
  <c r="K30" i="108"/>
  <c r="X29" i="108"/>
  <c r="V29" i="108"/>
  <c r="W29" i="108" s="1"/>
  <c r="S29" i="108"/>
  <c r="K29" i="108"/>
  <c r="X28" i="108"/>
  <c r="V28" i="108"/>
  <c r="W28" i="108" s="1"/>
  <c r="K28" i="108"/>
  <c r="X27" i="108"/>
  <c r="V27" i="108"/>
  <c r="W27" i="108" s="1"/>
  <c r="Y27" i="108" s="1"/>
  <c r="Z27" i="108" s="1"/>
  <c r="S27" i="108"/>
  <c r="Y63" i="102"/>
  <c r="W63" i="102"/>
  <c r="X63" i="102" s="1"/>
  <c r="L63" i="102"/>
  <c r="Q63" i="102"/>
  <c r="P63" i="102"/>
  <c r="Y62" i="102"/>
  <c r="W62" i="102"/>
  <c r="X62" i="102" s="1"/>
  <c r="L62" i="102"/>
  <c r="Q62" i="102"/>
  <c r="P62" i="102"/>
  <c r="J62" i="102" s="1"/>
  <c r="Y61" i="102"/>
  <c r="W61" i="102"/>
  <c r="X61" i="102" s="1"/>
  <c r="L61" i="102"/>
  <c r="Q61" i="102"/>
  <c r="P61" i="102"/>
  <c r="J61" i="102" s="1"/>
  <c r="Y60" i="102"/>
  <c r="W60" i="102"/>
  <c r="X60" i="102" s="1"/>
  <c r="L60" i="102"/>
  <c r="Q60" i="102"/>
  <c r="P60" i="102"/>
  <c r="J60" i="102" s="1"/>
  <c r="Y59" i="102"/>
  <c r="W59" i="102"/>
  <c r="X59" i="102" s="1"/>
  <c r="L59" i="102"/>
  <c r="Q59" i="102"/>
  <c r="P59" i="102"/>
  <c r="J59" i="102" s="1"/>
  <c r="Y58" i="102"/>
  <c r="W58" i="102"/>
  <c r="X58" i="102" s="1"/>
  <c r="L58" i="102"/>
  <c r="Q58" i="102"/>
  <c r="P58" i="102"/>
  <c r="J58" i="102" s="1"/>
  <c r="Y57" i="102"/>
  <c r="W57" i="102"/>
  <c r="X57" i="102" s="1"/>
  <c r="L57" i="102"/>
  <c r="Q57" i="102"/>
  <c r="P57" i="102"/>
  <c r="J57" i="102" s="1"/>
  <c r="Y56" i="102"/>
  <c r="W56" i="102"/>
  <c r="X56" i="102" s="1"/>
  <c r="L56" i="102"/>
  <c r="Q56" i="102"/>
  <c r="P56" i="102"/>
  <c r="J56" i="102" s="1"/>
  <c r="Y55" i="102"/>
  <c r="W55" i="102"/>
  <c r="X55" i="102" s="1"/>
  <c r="L55" i="102"/>
  <c r="Q55" i="102"/>
  <c r="P55" i="102"/>
  <c r="J55" i="102" s="1"/>
  <c r="Y54" i="102"/>
  <c r="W54" i="102"/>
  <c r="X54" i="102" s="1"/>
  <c r="L54" i="102"/>
  <c r="Q54" i="102"/>
  <c r="P54" i="102"/>
  <c r="J54" i="102" s="1"/>
  <c r="Y53" i="102"/>
  <c r="W53" i="102"/>
  <c r="X53" i="102" s="1"/>
  <c r="L53" i="102"/>
  <c r="Q53" i="102"/>
  <c r="P53" i="102"/>
  <c r="J53" i="102" s="1"/>
  <c r="Y52" i="102"/>
  <c r="W52" i="102"/>
  <c r="X52" i="102" s="1"/>
  <c r="L52" i="102"/>
  <c r="Q52" i="102"/>
  <c r="K52" i="102" s="1"/>
  <c r="P52" i="102"/>
  <c r="J52" i="102" s="1"/>
  <c r="Y51" i="102"/>
  <c r="W51" i="102"/>
  <c r="X51" i="102" s="1"/>
  <c r="L51" i="102"/>
  <c r="Q51" i="102"/>
  <c r="P51" i="102"/>
  <c r="J51" i="102" s="1"/>
  <c r="Y50" i="102"/>
  <c r="W50" i="102"/>
  <c r="X50" i="102" s="1"/>
  <c r="L50" i="102"/>
  <c r="Q50" i="102"/>
  <c r="P50" i="102"/>
  <c r="J50" i="102" s="1"/>
  <c r="Y49" i="102"/>
  <c r="W49" i="102"/>
  <c r="X49" i="102" s="1"/>
  <c r="L49" i="102"/>
  <c r="Q49" i="102"/>
  <c r="P49" i="102"/>
  <c r="J49" i="102" s="1"/>
  <c r="Y48" i="102"/>
  <c r="W48" i="102"/>
  <c r="X48" i="102" s="1"/>
  <c r="L48" i="102"/>
  <c r="Q48" i="102"/>
  <c r="P48" i="102"/>
  <c r="J48" i="102" s="1"/>
  <c r="Y47" i="102"/>
  <c r="W47" i="102"/>
  <c r="X47" i="102" s="1"/>
  <c r="L47" i="102"/>
  <c r="Q47" i="102"/>
  <c r="P47" i="102"/>
  <c r="J47" i="102" s="1"/>
  <c r="Y46" i="102"/>
  <c r="W46" i="102"/>
  <c r="X46" i="102" s="1"/>
  <c r="L46" i="102"/>
  <c r="Q46" i="102"/>
  <c r="P46" i="102"/>
  <c r="Y45" i="102"/>
  <c r="W45" i="102"/>
  <c r="X45" i="102" s="1"/>
  <c r="L45" i="102"/>
  <c r="Q45" i="102"/>
  <c r="P45" i="102"/>
  <c r="J45" i="102" s="1"/>
  <c r="Y44" i="102"/>
  <c r="W44" i="102"/>
  <c r="X44" i="102" s="1"/>
  <c r="L44" i="102"/>
  <c r="Q44" i="102"/>
  <c r="K44" i="102" s="1"/>
  <c r="P44" i="102"/>
  <c r="J44" i="102" s="1"/>
  <c r="Y43" i="102"/>
  <c r="W43" i="102"/>
  <c r="X43" i="102" s="1"/>
  <c r="L43" i="102"/>
  <c r="Q43" i="102"/>
  <c r="P43" i="102"/>
  <c r="J43" i="102" s="1"/>
  <c r="Y42" i="102"/>
  <c r="W42" i="102"/>
  <c r="X42" i="102" s="1"/>
  <c r="L42" i="102"/>
  <c r="Q42" i="102"/>
  <c r="P42" i="102"/>
  <c r="J42" i="102" s="1"/>
  <c r="Y41" i="102"/>
  <c r="W41" i="102"/>
  <c r="X41" i="102" s="1"/>
  <c r="Z41" i="102" s="1"/>
  <c r="L41" i="102"/>
  <c r="Q41" i="102"/>
  <c r="P41" i="102"/>
  <c r="J41" i="102" s="1"/>
  <c r="Y40" i="102"/>
  <c r="W40" i="102"/>
  <c r="X40" i="102" s="1"/>
  <c r="L40" i="102"/>
  <c r="Q40" i="102"/>
  <c r="P40" i="102"/>
  <c r="J40" i="102" s="1"/>
  <c r="Y39" i="102"/>
  <c r="W39" i="102"/>
  <c r="X39" i="102" s="1"/>
  <c r="L39" i="102"/>
  <c r="Q39" i="102"/>
  <c r="P39" i="102"/>
  <c r="J39" i="102" s="1"/>
  <c r="Y38" i="102"/>
  <c r="W38" i="102"/>
  <c r="X38" i="102" s="1"/>
  <c r="L38" i="102"/>
  <c r="Q38" i="102"/>
  <c r="P38" i="102"/>
  <c r="J38" i="102" s="1"/>
  <c r="Y37" i="102"/>
  <c r="W37" i="102"/>
  <c r="X37" i="102" s="1"/>
  <c r="L37" i="102"/>
  <c r="Q37" i="102"/>
  <c r="P37" i="102"/>
  <c r="J37" i="102" s="1"/>
  <c r="Y36" i="102"/>
  <c r="W36" i="102"/>
  <c r="X36" i="102" s="1"/>
  <c r="L36" i="102"/>
  <c r="Q36" i="102"/>
  <c r="P36" i="102"/>
  <c r="J36" i="102" s="1"/>
  <c r="Y35" i="102"/>
  <c r="W35" i="102"/>
  <c r="X35" i="102" s="1"/>
  <c r="L35" i="102"/>
  <c r="Q35" i="102"/>
  <c r="P35" i="102"/>
  <c r="Y34" i="102"/>
  <c r="W34" i="102"/>
  <c r="X34" i="102" s="1"/>
  <c r="L34" i="102"/>
  <c r="Q34" i="102"/>
  <c r="P34" i="102"/>
  <c r="Z54" i="102" l="1"/>
  <c r="S42" i="102"/>
  <c r="M42" i="102" s="1"/>
  <c r="Z45" i="102"/>
  <c r="AA45" i="102" s="1"/>
  <c r="Z53" i="102"/>
  <c r="K63" i="102"/>
  <c r="K36" i="102"/>
  <c r="AA36" i="102"/>
  <c r="AB36" i="102" s="1"/>
  <c r="K54" i="102"/>
  <c r="AA54" i="102"/>
  <c r="K62" i="102"/>
  <c r="AA62" i="102"/>
  <c r="K41" i="102"/>
  <c r="AA41" i="102"/>
  <c r="K55" i="102"/>
  <c r="AA55" i="102"/>
  <c r="AB55" i="102" s="1"/>
  <c r="K34" i="102"/>
  <c r="K38" i="102"/>
  <c r="AA38" i="102"/>
  <c r="K48" i="102"/>
  <c r="K56" i="102"/>
  <c r="K60" i="102"/>
  <c r="AA60" i="102"/>
  <c r="AB60" i="102" s="1"/>
  <c r="Z62" i="102"/>
  <c r="K40" i="102"/>
  <c r="K46" i="102"/>
  <c r="K50" i="102"/>
  <c r="K58" i="102"/>
  <c r="K37" i="102"/>
  <c r="AA37" i="102"/>
  <c r="K43" i="102"/>
  <c r="K47" i="102"/>
  <c r="K51" i="102"/>
  <c r="K59" i="102"/>
  <c r="K35" i="102"/>
  <c r="K39" i="102"/>
  <c r="K42" i="102"/>
  <c r="K45" i="102"/>
  <c r="K49" i="102"/>
  <c r="K53" i="102"/>
  <c r="AA53" i="102"/>
  <c r="K57" i="102"/>
  <c r="K61" i="102"/>
  <c r="AA61" i="102"/>
  <c r="K3" i="108"/>
  <c r="Y40" i="108"/>
  <c r="Z40" i="108" s="1"/>
  <c r="Y43" i="108"/>
  <c r="Z43" i="108" s="1"/>
  <c r="Y44" i="108"/>
  <c r="Z44" i="108" s="1"/>
  <c r="K4" i="108"/>
  <c r="N18" i="101"/>
  <c r="Y29" i="108"/>
  <c r="Z29" i="108" s="1"/>
  <c r="Y30" i="108"/>
  <c r="Z30" i="108" s="1"/>
  <c r="Y31" i="108"/>
  <c r="Z31" i="108" s="1"/>
  <c r="Y46" i="108"/>
  <c r="Z46" i="108" s="1"/>
  <c r="N20" i="101"/>
  <c r="Z46" i="102"/>
  <c r="AA46" i="102" s="1"/>
  <c r="AB46" i="102" s="1"/>
  <c r="S58" i="102"/>
  <c r="M58" i="102" s="1"/>
  <c r="Z61" i="102"/>
  <c r="Z58" i="102"/>
  <c r="AA58" i="102" s="1"/>
  <c r="AB58" i="102" s="1"/>
  <c r="S62" i="102"/>
  <c r="M62" i="102" s="1"/>
  <c r="T34" i="102"/>
  <c r="N34" i="102" s="1"/>
  <c r="J34" i="102"/>
  <c r="Z35" i="102"/>
  <c r="S38" i="102"/>
  <c r="M38" i="102" s="1"/>
  <c r="Z43" i="102"/>
  <c r="AA43" i="102" s="1"/>
  <c r="S46" i="102"/>
  <c r="M46" i="102" s="1"/>
  <c r="J46" i="102"/>
  <c r="Z50" i="102"/>
  <c r="AA50" i="102" s="1"/>
  <c r="AB50" i="102" s="1"/>
  <c r="S54" i="102"/>
  <c r="M54" i="102" s="1"/>
  <c r="Z57" i="102"/>
  <c r="AA57" i="102" s="1"/>
  <c r="T35" i="102"/>
  <c r="N35" i="102" s="1"/>
  <c r="J35" i="102"/>
  <c r="J63" i="102"/>
  <c r="S63" i="102"/>
  <c r="M63" i="102" s="1"/>
  <c r="S50" i="102"/>
  <c r="M50" i="102" s="1"/>
  <c r="Z34" i="102"/>
  <c r="AA34" i="102" s="1"/>
  <c r="AB34" i="102" s="1"/>
  <c r="O34" i="102" s="1"/>
  <c r="Z42" i="102"/>
  <c r="AA42" i="102" s="1"/>
  <c r="AB42" i="102" s="1"/>
  <c r="S28" i="108"/>
  <c r="M28" i="108" s="1"/>
  <c r="Y32" i="108"/>
  <c r="Z32" i="108" s="1"/>
  <c r="I35" i="108"/>
  <c r="S36" i="108"/>
  <c r="M36" i="108" s="1"/>
  <c r="S38" i="108"/>
  <c r="M38" i="108" s="1"/>
  <c r="S39" i="108"/>
  <c r="M39" i="108" s="1"/>
  <c r="Y39" i="108"/>
  <c r="Z39" i="108" s="1"/>
  <c r="Y42" i="108"/>
  <c r="Z42" i="108" s="1"/>
  <c r="I46" i="108"/>
  <c r="N19" i="101"/>
  <c r="S31" i="108"/>
  <c r="M31" i="108" s="1"/>
  <c r="N17" i="101"/>
  <c r="N21" i="101"/>
  <c r="I27" i="108"/>
  <c r="I28" i="108"/>
  <c r="Y28" i="108"/>
  <c r="Z28" i="108" s="1"/>
  <c r="I34" i="108"/>
  <c r="I4" i="108" s="1"/>
  <c r="Y36" i="108"/>
  <c r="Z36" i="108" s="1"/>
  <c r="I39" i="108"/>
  <c r="S40" i="108"/>
  <c r="M40" i="108" s="1"/>
  <c r="S42" i="108"/>
  <c r="M42" i="108" s="1"/>
  <c r="S43" i="108"/>
  <c r="M43" i="108" s="1"/>
  <c r="Z39" i="102"/>
  <c r="AA39" i="102" s="1"/>
  <c r="AB39" i="102" s="1"/>
  <c r="Z38" i="102"/>
  <c r="Z49" i="102"/>
  <c r="Z51" i="102"/>
  <c r="AA51" i="102" s="1"/>
  <c r="Z59" i="102"/>
  <c r="AA59" i="102" s="1"/>
  <c r="Z37" i="102"/>
  <c r="Z47" i="102"/>
  <c r="AA47" i="102" s="1"/>
  <c r="AB47" i="102" s="1"/>
  <c r="O47" i="102" s="1"/>
  <c r="Z55" i="102"/>
  <c r="M32" i="108"/>
  <c r="M34" i="108"/>
  <c r="M35" i="108"/>
  <c r="M44" i="108"/>
  <c r="M46" i="108"/>
  <c r="S30" i="108"/>
  <c r="I32" i="108"/>
  <c r="I3" i="108" s="1"/>
  <c r="I36" i="108"/>
  <c r="I40" i="108"/>
  <c r="I44" i="108"/>
  <c r="S33" i="108"/>
  <c r="S37" i="108"/>
  <c r="S45" i="108"/>
  <c r="I29" i="108"/>
  <c r="M29" i="108"/>
  <c r="I33" i="108"/>
  <c r="I37" i="108"/>
  <c r="I41" i="108"/>
  <c r="I45" i="108"/>
  <c r="S41" i="108"/>
  <c r="M27" i="108"/>
  <c r="T37" i="102"/>
  <c r="N37" i="102" s="1"/>
  <c r="T39" i="102"/>
  <c r="N39" i="102" s="1"/>
  <c r="T41" i="102"/>
  <c r="N41" i="102" s="1"/>
  <c r="T43" i="102"/>
  <c r="T45" i="102"/>
  <c r="N45" i="102" s="1"/>
  <c r="T47" i="102"/>
  <c r="N47" i="102" s="1"/>
  <c r="T49" i="102"/>
  <c r="N49" i="102" s="1"/>
  <c r="T51" i="102"/>
  <c r="N51" i="102" s="1"/>
  <c r="T53" i="102"/>
  <c r="N53" i="102" s="1"/>
  <c r="T55" i="102"/>
  <c r="N55" i="102" s="1"/>
  <c r="T57" i="102"/>
  <c r="N57" i="102" s="1"/>
  <c r="T59" i="102"/>
  <c r="N59" i="102" s="1"/>
  <c r="T61" i="102"/>
  <c r="N61" i="102" s="1"/>
  <c r="T63" i="102"/>
  <c r="N63" i="102" s="1"/>
  <c r="S34" i="102"/>
  <c r="M34" i="102" s="1"/>
  <c r="S36" i="102"/>
  <c r="M36" i="102" s="1"/>
  <c r="T38" i="102"/>
  <c r="N38" i="102" s="1"/>
  <c r="S40" i="102"/>
  <c r="M40" i="102" s="1"/>
  <c r="T42" i="102"/>
  <c r="N42" i="102" s="1"/>
  <c r="S44" i="102"/>
  <c r="M44" i="102" s="1"/>
  <c r="T46" i="102"/>
  <c r="N46" i="102" s="1"/>
  <c r="S48" i="102"/>
  <c r="M48" i="102" s="1"/>
  <c r="T50" i="102"/>
  <c r="N50" i="102" s="1"/>
  <c r="S52" i="102"/>
  <c r="M52" i="102" s="1"/>
  <c r="T54" i="102"/>
  <c r="N54" i="102" s="1"/>
  <c r="S56" i="102"/>
  <c r="M56" i="102" s="1"/>
  <c r="T58" i="102"/>
  <c r="N58" i="102" s="1"/>
  <c r="S60" i="102"/>
  <c r="M60" i="102" s="1"/>
  <c r="T62" i="102"/>
  <c r="N62" i="102" s="1"/>
  <c r="S35" i="102"/>
  <c r="M35" i="102" s="1"/>
  <c r="T36" i="102"/>
  <c r="N36" i="102" s="1"/>
  <c r="S39" i="102"/>
  <c r="M39" i="102" s="1"/>
  <c r="T40" i="102"/>
  <c r="N40" i="102" s="1"/>
  <c r="S43" i="102"/>
  <c r="M43" i="102" s="1"/>
  <c r="T44" i="102"/>
  <c r="N44" i="102" s="1"/>
  <c r="S47" i="102"/>
  <c r="M47" i="102" s="1"/>
  <c r="T48" i="102"/>
  <c r="N48" i="102" s="1"/>
  <c r="S51" i="102"/>
  <c r="M51" i="102" s="1"/>
  <c r="T52" i="102"/>
  <c r="N52" i="102" s="1"/>
  <c r="S55" i="102"/>
  <c r="M55" i="102" s="1"/>
  <c r="T56" i="102"/>
  <c r="N56" i="102" s="1"/>
  <c r="S59" i="102"/>
  <c r="M59" i="102" s="1"/>
  <c r="T60" i="102"/>
  <c r="N60" i="102" s="1"/>
  <c r="Z63" i="102"/>
  <c r="AA63" i="102" s="1"/>
  <c r="AB63" i="102" s="1"/>
  <c r="Z36" i="102"/>
  <c r="S37" i="102"/>
  <c r="M37" i="102" s="1"/>
  <c r="Z40" i="102"/>
  <c r="AA40" i="102" s="1"/>
  <c r="S41" i="102"/>
  <c r="M41" i="102" s="1"/>
  <c r="Z44" i="102"/>
  <c r="AA44" i="102" s="1"/>
  <c r="AB44" i="102" s="1"/>
  <c r="S45" i="102"/>
  <c r="M45" i="102" s="1"/>
  <c r="Z48" i="102"/>
  <c r="AA48" i="102" s="1"/>
  <c r="S49" i="102"/>
  <c r="M49" i="102" s="1"/>
  <c r="Z52" i="102"/>
  <c r="AA52" i="102" s="1"/>
  <c r="AB52" i="102" s="1"/>
  <c r="S53" i="102"/>
  <c r="M53" i="102" s="1"/>
  <c r="Z56" i="102"/>
  <c r="AA56" i="102" s="1"/>
  <c r="S57" i="102"/>
  <c r="M57" i="102" s="1"/>
  <c r="Z60" i="102"/>
  <c r="S61" i="102"/>
  <c r="M61" i="102" s="1"/>
  <c r="Y27" i="102"/>
  <c r="W27" i="102"/>
  <c r="X27" i="102" s="1"/>
  <c r="L27" i="102"/>
  <c r="Q27" i="102"/>
  <c r="P27" i="102"/>
  <c r="Y33" i="102"/>
  <c r="W33" i="102"/>
  <c r="X33" i="102" s="1"/>
  <c r="S33" i="102"/>
  <c r="M33" i="102" s="1"/>
  <c r="Q33" i="102"/>
  <c r="P33" i="102"/>
  <c r="J33" i="102" s="1"/>
  <c r="Y26" i="102"/>
  <c r="W26" i="102"/>
  <c r="X26" i="102" s="1"/>
  <c r="L26" i="102"/>
  <c r="Q26" i="102"/>
  <c r="P26" i="102"/>
  <c r="Y20" i="102"/>
  <c r="W20" i="102"/>
  <c r="X20" i="102" s="1"/>
  <c r="L20" i="102"/>
  <c r="Q20" i="102"/>
  <c r="P20" i="102"/>
  <c r="Y19" i="102"/>
  <c r="W19" i="102"/>
  <c r="X19" i="102" s="1"/>
  <c r="L19" i="102"/>
  <c r="Q19" i="102"/>
  <c r="P19" i="102"/>
  <c r="S19" i="102" s="1"/>
  <c r="M19" i="102" s="1"/>
  <c r="Y18" i="102"/>
  <c r="W18" i="102"/>
  <c r="X18" i="102" s="1"/>
  <c r="L18" i="102"/>
  <c r="Q18" i="102"/>
  <c r="P18" i="102"/>
  <c r="Y17" i="102"/>
  <c r="W17" i="102"/>
  <c r="X17" i="102" s="1"/>
  <c r="L17" i="102"/>
  <c r="Q17" i="102"/>
  <c r="P17" i="102"/>
  <c r="J17" i="102" s="1"/>
  <c r="Y16" i="102"/>
  <c r="W16" i="102"/>
  <c r="X16" i="102" s="1"/>
  <c r="L16" i="102"/>
  <c r="Q16" i="102"/>
  <c r="P16" i="102"/>
  <c r="Y15" i="102"/>
  <c r="W15" i="102"/>
  <c r="X15" i="102" s="1"/>
  <c r="Z15" i="102" s="1"/>
  <c r="L15" i="102"/>
  <c r="Q15" i="102"/>
  <c r="P15" i="102"/>
  <c r="AB59" i="102" l="1"/>
  <c r="AB51" i="102"/>
  <c r="Z16" i="102"/>
  <c r="AA16" i="102" s="1"/>
  <c r="AB16" i="102" s="1"/>
  <c r="AB57" i="102"/>
  <c r="O57" i="102" s="1"/>
  <c r="S16" i="102"/>
  <c r="M16" i="102" s="1"/>
  <c r="Z17" i="102"/>
  <c r="S20" i="102"/>
  <c r="M20" i="102" s="1"/>
  <c r="AB56" i="102"/>
  <c r="O56" i="102" s="1"/>
  <c r="AB48" i="102"/>
  <c r="AB40" i="102"/>
  <c r="AB43" i="102"/>
  <c r="O43" i="102" s="1"/>
  <c r="AB38" i="102"/>
  <c r="AB62" i="102"/>
  <c r="K18" i="102"/>
  <c r="AB61" i="102"/>
  <c r="O61" i="102" s="1"/>
  <c r="AB53" i="102"/>
  <c r="O53" i="102" s="1"/>
  <c r="AB37" i="102"/>
  <c r="O37" i="102" s="1"/>
  <c r="K19" i="102"/>
  <c r="K20" i="102"/>
  <c r="Z33" i="102"/>
  <c r="AB41" i="102"/>
  <c r="O41" i="102" s="1"/>
  <c r="AB54" i="102"/>
  <c r="O55" i="102"/>
  <c r="AB45" i="102"/>
  <c r="O45" i="102" s="1"/>
  <c r="K15" i="102"/>
  <c r="AA15" i="102"/>
  <c r="K16" i="102"/>
  <c r="AA17" i="102"/>
  <c r="Z18" i="102"/>
  <c r="AA18" i="102" s="1"/>
  <c r="Z20" i="102"/>
  <c r="AA20" i="102" s="1"/>
  <c r="K33" i="102"/>
  <c r="AA33" i="102"/>
  <c r="AB33" i="102" s="1"/>
  <c r="Z27" i="102"/>
  <c r="AA27" i="102" s="1"/>
  <c r="AB27" i="102" s="1"/>
  <c r="O63" i="102"/>
  <c r="AA49" i="102"/>
  <c r="AB49" i="102" s="1"/>
  <c r="O49" i="102" s="1"/>
  <c r="AA35" i="102"/>
  <c r="AB35" i="102" s="1"/>
  <c r="O35" i="102" s="1"/>
  <c r="I2" i="108"/>
  <c r="L20" i="101"/>
  <c r="S17" i="102"/>
  <c r="M17" i="102" s="1"/>
  <c r="S15" i="102"/>
  <c r="M15" i="102" s="1"/>
  <c r="Z19" i="102"/>
  <c r="AA19" i="102" s="1"/>
  <c r="AB19" i="102" s="1"/>
  <c r="O39" i="102"/>
  <c r="S27" i="102"/>
  <c r="M27" i="102" s="1"/>
  <c r="K27" i="102"/>
  <c r="S26" i="102"/>
  <c r="M26" i="102" s="1"/>
  <c r="K26" i="102"/>
  <c r="T20" i="102"/>
  <c r="N20" i="102" s="1"/>
  <c r="T26" i="102"/>
  <c r="N26" i="102" s="1"/>
  <c r="J26" i="102"/>
  <c r="N43" i="102"/>
  <c r="T16" i="102"/>
  <c r="N16" i="102" s="1"/>
  <c r="K17" i="102"/>
  <c r="J16" i="102"/>
  <c r="T17" i="102"/>
  <c r="N17" i="102" s="1"/>
  <c r="T18" i="102"/>
  <c r="J20" i="102"/>
  <c r="Z26" i="102"/>
  <c r="AA26" i="102" s="1"/>
  <c r="T33" i="102"/>
  <c r="N33" i="102" s="1"/>
  <c r="L33" i="102"/>
  <c r="T27" i="102"/>
  <c r="N27" i="102" s="1"/>
  <c r="J27" i="102"/>
  <c r="P17" i="101"/>
  <c r="L18" i="101"/>
  <c r="L19" i="101"/>
  <c r="L21" i="101"/>
  <c r="L17" i="101"/>
  <c r="M41" i="108"/>
  <c r="M45" i="108"/>
  <c r="M4" i="108" s="1"/>
  <c r="M33" i="108"/>
  <c r="M30" i="108"/>
  <c r="M37" i="108"/>
  <c r="O59" i="102"/>
  <c r="O51" i="102"/>
  <c r="O48" i="102"/>
  <c r="O52" i="102"/>
  <c r="O36" i="102"/>
  <c r="O58" i="102"/>
  <c r="O50" i="102"/>
  <c r="O42" i="102"/>
  <c r="O40" i="102"/>
  <c r="O60" i="102"/>
  <c r="O44" i="102"/>
  <c r="O62" i="102"/>
  <c r="O54" i="102"/>
  <c r="O46" i="102"/>
  <c r="O38" i="102"/>
  <c r="T15" i="102"/>
  <c r="J18" i="102"/>
  <c r="J15" i="102"/>
  <c r="S18" i="102"/>
  <c r="M18" i="102" s="1"/>
  <c r="J19" i="102"/>
  <c r="T19" i="102"/>
  <c r="AB20" i="102" l="1"/>
  <c r="O20" i="102" s="1"/>
  <c r="AB26" i="102"/>
  <c r="O26" i="102" s="1"/>
  <c r="AB18" i="102"/>
  <c r="O18" i="102" s="1"/>
  <c r="O27" i="102"/>
  <c r="AB15" i="102"/>
  <c r="AB17" i="102"/>
  <c r="O17" i="102" s="1"/>
  <c r="P19" i="101"/>
  <c r="M3" i="108"/>
  <c r="M2" i="108"/>
  <c r="N18" i="102"/>
  <c r="O16" i="102"/>
  <c r="O33" i="102"/>
  <c r="P20" i="101"/>
  <c r="P21" i="101"/>
  <c r="P18" i="101"/>
  <c r="O19" i="102"/>
  <c r="N19" i="102"/>
  <c r="O15" i="102"/>
  <c r="N15" i="102"/>
  <c r="Y14" i="102" l="1"/>
  <c r="W14" i="102"/>
  <c r="X14" i="102" s="1"/>
  <c r="P14" i="102"/>
  <c r="J14" i="102" s="1"/>
  <c r="K14" i="102" l="1"/>
  <c r="Z14" i="102"/>
  <c r="AA14" i="102" s="1"/>
  <c r="T14" i="102"/>
  <c r="S14" i="102"/>
  <c r="M14" i="102" s="1"/>
  <c r="X19" i="104"/>
  <c r="V19" i="104"/>
  <c r="W19" i="104" s="1"/>
  <c r="K19" i="104"/>
  <c r="P19" i="104"/>
  <c r="J19" i="104" s="1"/>
  <c r="O19" i="104"/>
  <c r="X18" i="104"/>
  <c r="V18" i="104"/>
  <c r="W18" i="104" s="1"/>
  <c r="K18" i="104"/>
  <c r="P18" i="104"/>
  <c r="J18" i="104" s="1"/>
  <c r="O18" i="104"/>
  <c r="X17" i="104"/>
  <c r="V17" i="104"/>
  <c r="W17" i="104" s="1"/>
  <c r="K17" i="104"/>
  <c r="P17" i="104"/>
  <c r="J17" i="104" s="1"/>
  <c r="O17" i="104"/>
  <c r="X8" i="104"/>
  <c r="V8" i="104"/>
  <c r="W8" i="104" s="1"/>
  <c r="K8" i="104"/>
  <c r="P8" i="104"/>
  <c r="J8" i="104" s="1"/>
  <c r="O8" i="104"/>
  <c r="R8" i="104" s="1"/>
  <c r="L8" i="104" s="1"/>
  <c r="X7" i="104"/>
  <c r="V7" i="104"/>
  <c r="W7" i="104" s="1"/>
  <c r="K7" i="104"/>
  <c r="P7" i="104"/>
  <c r="J7" i="104" s="1"/>
  <c r="O7" i="104"/>
  <c r="S7" i="104" s="1"/>
  <c r="AB14" i="102" l="1"/>
  <c r="O14" i="102" s="1"/>
  <c r="S17" i="104"/>
  <c r="M17" i="104" s="1"/>
  <c r="Y8" i="104"/>
  <c r="Z8" i="104" s="1"/>
  <c r="AA8" i="104" s="1"/>
  <c r="N14" i="102"/>
  <c r="R19" i="104"/>
  <c r="L19" i="104" s="1"/>
  <c r="Y7" i="104"/>
  <c r="I19" i="104"/>
  <c r="R7" i="104"/>
  <c r="L7" i="104" s="1"/>
  <c r="Y18" i="104"/>
  <c r="Z18" i="104" s="1"/>
  <c r="Y17" i="104"/>
  <c r="Z17" i="104" s="1"/>
  <c r="R18" i="104"/>
  <c r="L18" i="104" s="1"/>
  <c r="S19" i="104"/>
  <c r="M19" i="104" s="1"/>
  <c r="Y19" i="104"/>
  <c r="Z19" i="104" s="1"/>
  <c r="I17" i="104"/>
  <c r="S18" i="104"/>
  <c r="R17" i="104"/>
  <c r="L17" i="104" s="1"/>
  <c r="I18" i="104"/>
  <c r="M7" i="104"/>
  <c r="Z7" i="104"/>
  <c r="S8" i="104"/>
  <c r="I7" i="104"/>
  <c r="I8" i="104"/>
  <c r="AA7" i="104" l="1"/>
  <c r="N7" i="104" s="1"/>
  <c r="AA19" i="104"/>
  <c r="AA18" i="104"/>
  <c r="N18" i="104" s="1"/>
  <c r="AA17" i="104"/>
  <c r="N17" i="104" s="1"/>
  <c r="N19" i="104"/>
  <c r="M18" i="104"/>
  <c r="N8" i="104"/>
  <c r="M8" i="104"/>
  <c r="X6" i="104" l="1"/>
  <c r="V6" i="104"/>
  <c r="W6" i="104" s="1"/>
  <c r="K9" i="104"/>
  <c r="K2" i="104" s="1"/>
  <c r="P6" i="104"/>
  <c r="J6" i="104" s="1"/>
  <c r="J9" i="104" s="1"/>
  <c r="J2" i="104" s="1"/>
  <c r="O6" i="104"/>
  <c r="I6" i="104" s="1"/>
  <c r="I9" i="104" s="1"/>
  <c r="I2" i="104" s="1"/>
  <c r="X16" i="104"/>
  <c r="V16" i="104"/>
  <c r="W16" i="104" s="1"/>
  <c r="P16" i="104"/>
  <c r="J16" i="104" s="1"/>
  <c r="O16" i="104"/>
  <c r="I16" i="104" s="1"/>
  <c r="L49" i="105"/>
  <c r="K49" i="105"/>
  <c r="J49" i="105"/>
  <c r="I49" i="105"/>
  <c r="L48" i="105"/>
  <c r="K48" i="105"/>
  <c r="J48" i="105"/>
  <c r="I48" i="105"/>
  <c r="L47" i="105"/>
  <c r="K47" i="105"/>
  <c r="J47" i="105"/>
  <c r="I47" i="105"/>
  <c r="N46" i="105"/>
  <c r="L46" i="105"/>
  <c r="K46" i="105"/>
  <c r="J46" i="105"/>
  <c r="I46" i="105"/>
  <c r="X49" i="105"/>
  <c r="V49" i="105"/>
  <c r="W49" i="105" s="1"/>
  <c r="Y49" i="105" s="1"/>
  <c r="P49" i="105"/>
  <c r="O49" i="105"/>
  <c r="X48" i="105"/>
  <c r="V48" i="105"/>
  <c r="W48" i="105" s="1"/>
  <c r="Y48" i="105" s="1"/>
  <c r="P48" i="105"/>
  <c r="O48" i="105"/>
  <c r="X47" i="105"/>
  <c r="V47" i="105"/>
  <c r="W47" i="105" s="1"/>
  <c r="Y47" i="105" s="1"/>
  <c r="P47" i="105"/>
  <c r="O47" i="105"/>
  <c r="R47" i="105" s="1"/>
  <c r="X46" i="105"/>
  <c r="V46" i="105"/>
  <c r="W46" i="105" s="1"/>
  <c r="P46" i="105"/>
  <c r="O46" i="105"/>
  <c r="K10" i="105"/>
  <c r="J11" i="105"/>
  <c r="I12" i="105"/>
  <c r="K14" i="105"/>
  <c r="J15" i="105"/>
  <c r="I16" i="105"/>
  <c r="J19" i="105"/>
  <c r="I20" i="105"/>
  <c r="K22" i="105"/>
  <c r="J23" i="105"/>
  <c r="I24" i="105"/>
  <c r="J27" i="105"/>
  <c r="I28" i="105"/>
  <c r="K30" i="105"/>
  <c r="J31" i="105"/>
  <c r="I32" i="105"/>
  <c r="M32" i="105"/>
  <c r="K38" i="105"/>
  <c r="J39" i="105"/>
  <c r="I40" i="105"/>
  <c r="V40" i="105"/>
  <c r="V39" i="105"/>
  <c r="W39" i="105" s="1"/>
  <c r="V38" i="105"/>
  <c r="W38" i="105" s="1"/>
  <c r="V37" i="105"/>
  <c r="W37" i="105" s="1"/>
  <c r="V36" i="105"/>
  <c r="V35" i="105"/>
  <c r="W35" i="105" s="1"/>
  <c r="V34" i="105"/>
  <c r="V33" i="105"/>
  <c r="W33" i="105" s="1"/>
  <c r="V32" i="105"/>
  <c r="V31" i="105"/>
  <c r="W31" i="105" s="1"/>
  <c r="V30" i="105"/>
  <c r="W30" i="105" s="1"/>
  <c r="V29" i="105"/>
  <c r="W29" i="105" s="1"/>
  <c r="V28" i="105"/>
  <c r="V27" i="105"/>
  <c r="W27" i="105" s="1"/>
  <c r="Y27" i="105" s="1"/>
  <c r="V26" i="105"/>
  <c r="W26" i="105" s="1"/>
  <c r="V25" i="105"/>
  <c r="W25" i="105" s="1"/>
  <c r="V24" i="105"/>
  <c r="V23" i="105"/>
  <c r="W23" i="105" s="1"/>
  <c r="Y23" i="105" s="1"/>
  <c r="V22" i="105"/>
  <c r="W22" i="105" s="1"/>
  <c r="V21" i="105"/>
  <c r="W21" i="105" s="1"/>
  <c r="V20" i="105"/>
  <c r="V19" i="105"/>
  <c r="W19" i="105" s="1"/>
  <c r="V18" i="105"/>
  <c r="W18" i="105" s="1"/>
  <c r="V17" i="105"/>
  <c r="W17" i="105" s="1"/>
  <c r="V16" i="105"/>
  <c r="V15" i="105"/>
  <c r="W15" i="105" s="1"/>
  <c r="V14" i="105"/>
  <c r="V13" i="105"/>
  <c r="W13" i="105" s="1"/>
  <c r="V12" i="105"/>
  <c r="V11" i="105"/>
  <c r="W11" i="105" s="1"/>
  <c r="V10" i="105"/>
  <c r="W10" i="105" s="1"/>
  <c r="V9" i="105"/>
  <c r="W9" i="105" s="1"/>
  <c r="O9" i="105"/>
  <c r="I9" i="105" s="1"/>
  <c r="P9" i="105"/>
  <c r="J9" i="105" s="1"/>
  <c r="K9" i="105"/>
  <c r="X9" i="105"/>
  <c r="O10" i="105"/>
  <c r="I10" i="105" s="1"/>
  <c r="P10" i="105"/>
  <c r="R10" i="105" s="1"/>
  <c r="L10" i="105" s="1"/>
  <c r="X10" i="105"/>
  <c r="O11" i="105"/>
  <c r="I11" i="105" s="1"/>
  <c r="P11" i="105"/>
  <c r="K11" i="105"/>
  <c r="K3" i="105" s="1"/>
  <c r="X11" i="105"/>
  <c r="O12" i="105"/>
  <c r="P12" i="105"/>
  <c r="J12" i="105" s="1"/>
  <c r="K12" i="105"/>
  <c r="W12" i="105"/>
  <c r="X12" i="105"/>
  <c r="O13" i="105"/>
  <c r="I13" i="105" s="1"/>
  <c r="P13" i="105"/>
  <c r="J13" i="105" s="1"/>
  <c r="K13" i="105"/>
  <c r="X13" i="105"/>
  <c r="O14" i="105"/>
  <c r="I14" i="105" s="1"/>
  <c r="P14" i="105"/>
  <c r="J14" i="105" s="1"/>
  <c r="W14" i="105"/>
  <c r="Y14" i="105" s="1"/>
  <c r="X14" i="105"/>
  <c r="O15" i="105"/>
  <c r="I15" i="105" s="1"/>
  <c r="P15" i="105"/>
  <c r="K15" i="105"/>
  <c r="X15" i="105"/>
  <c r="O16" i="105"/>
  <c r="S16" i="105" s="1"/>
  <c r="M16" i="105" s="1"/>
  <c r="P16" i="105"/>
  <c r="J16" i="105" s="1"/>
  <c r="K16" i="105"/>
  <c r="W16" i="105"/>
  <c r="X16" i="105"/>
  <c r="O17" i="105"/>
  <c r="I17" i="105" s="1"/>
  <c r="P17" i="105"/>
  <c r="J17" i="105" s="1"/>
  <c r="K17" i="105"/>
  <c r="X17" i="105"/>
  <c r="O18" i="105"/>
  <c r="R18" i="105" s="1"/>
  <c r="L18" i="105" s="1"/>
  <c r="P18" i="105"/>
  <c r="J18" i="105" s="1"/>
  <c r="K18" i="105"/>
  <c r="X18" i="105"/>
  <c r="O19" i="105"/>
  <c r="I19" i="105" s="1"/>
  <c r="P19" i="105"/>
  <c r="K19" i="105"/>
  <c r="X19" i="105"/>
  <c r="O20" i="105"/>
  <c r="P20" i="105"/>
  <c r="J20" i="105" s="1"/>
  <c r="K20" i="105"/>
  <c r="W20" i="105"/>
  <c r="Y20" i="105" s="1"/>
  <c r="X20" i="105"/>
  <c r="O21" i="105"/>
  <c r="I21" i="105" s="1"/>
  <c r="P21" i="105"/>
  <c r="J21" i="105" s="1"/>
  <c r="K21" i="105"/>
  <c r="X21" i="105"/>
  <c r="O22" i="105"/>
  <c r="I22" i="105" s="1"/>
  <c r="P22" i="105"/>
  <c r="J22" i="105" s="1"/>
  <c r="X22" i="105"/>
  <c r="O23" i="105"/>
  <c r="I23" i="105" s="1"/>
  <c r="P23" i="105"/>
  <c r="K23" i="105"/>
  <c r="X23" i="105"/>
  <c r="O24" i="105"/>
  <c r="P24" i="105"/>
  <c r="J24" i="105" s="1"/>
  <c r="K24" i="105"/>
  <c r="W24" i="105"/>
  <c r="X24" i="105"/>
  <c r="O25" i="105"/>
  <c r="I25" i="105" s="1"/>
  <c r="P25" i="105"/>
  <c r="J25" i="105" s="1"/>
  <c r="K25" i="105"/>
  <c r="X25" i="105"/>
  <c r="O26" i="105"/>
  <c r="R26" i="105" s="1"/>
  <c r="L26" i="105" s="1"/>
  <c r="P26" i="105"/>
  <c r="J26" i="105" s="1"/>
  <c r="K26" i="105"/>
  <c r="X26" i="105"/>
  <c r="O27" i="105"/>
  <c r="I27" i="105" s="1"/>
  <c r="P27" i="105"/>
  <c r="K27" i="105"/>
  <c r="X27" i="105"/>
  <c r="O28" i="105"/>
  <c r="P28" i="105"/>
  <c r="J28" i="105" s="1"/>
  <c r="K28" i="105"/>
  <c r="W28" i="105"/>
  <c r="X28" i="105"/>
  <c r="O29" i="105"/>
  <c r="I29" i="105" s="1"/>
  <c r="P29" i="105"/>
  <c r="J29" i="105" s="1"/>
  <c r="K29" i="105"/>
  <c r="X29" i="105"/>
  <c r="O30" i="105"/>
  <c r="R30" i="105" s="1"/>
  <c r="L30" i="105" s="1"/>
  <c r="P30" i="105"/>
  <c r="J30" i="105" s="1"/>
  <c r="X30" i="105"/>
  <c r="O31" i="105"/>
  <c r="I31" i="105" s="1"/>
  <c r="P31" i="105"/>
  <c r="K31" i="105"/>
  <c r="X31" i="105"/>
  <c r="O32" i="105"/>
  <c r="S32" i="105" s="1"/>
  <c r="P32" i="105"/>
  <c r="J32" i="105" s="1"/>
  <c r="K32" i="105"/>
  <c r="W32" i="105"/>
  <c r="Y32" i="105" s="1"/>
  <c r="X32" i="105"/>
  <c r="O33" i="105"/>
  <c r="I33" i="105" s="1"/>
  <c r="P33" i="105"/>
  <c r="J33" i="105" s="1"/>
  <c r="K33" i="105"/>
  <c r="X33" i="105"/>
  <c r="O34" i="105"/>
  <c r="I34" i="105" s="1"/>
  <c r="P34" i="105"/>
  <c r="J34" i="105" s="1"/>
  <c r="K34" i="105"/>
  <c r="W34" i="105"/>
  <c r="X34" i="105"/>
  <c r="O35" i="105"/>
  <c r="I35" i="105" s="1"/>
  <c r="P35" i="105"/>
  <c r="J35" i="105" s="1"/>
  <c r="K35" i="105"/>
  <c r="X35" i="105"/>
  <c r="O36" i="105"/>
  <c r="I36" i="105" s="1"/>
  <c r="P36" i="105"/>
  <c r="J36" i="105" s="1"/>
  <c r="K36" i="105"/>
  <c r="W36" i="105"/>
  <c r="X36" i="105"/>
  <c r="O37" i="105"/>
  <c r="I37" i="105" s="1"/>
  <c r="P37" i="105"/>
  <c r="J37" i="105" s="1"/>
  <c r="K37" i="105"/>
  <c r="X37" i="105"/>
  <c r="O38" i="105"/>
  <c r="I38" i="105" s="1"/>
  <c r="P38" i="105"/>
  <c r="J38" i="105" s="1"/>
  <c r="R38" i="105"/>
  <c r="L38" i="105" s="1"/>
  <c r="X38" i="105"/>
  <c r="O39" i="105"/>
  <c r="I39" i="105" s="1"/>
  <c r="P39" i="105"/>
  <c r="K39" i="105"/>
  <c r="X39" i="105"/>
  <c r="O40" i="105"/>
  <c r="P40" i="105"/>
  <c r="J40" i="105" s="1"/>
  <c r="K40" i="105"/>
  <c r="W40" i="105"/>
  <c r="X40" i="105"/>
  <c r="K2" i="105" l="1"/>
  <c r="K4" i="105"/>
  <c r="K41" i="105"/>
  <c r="K5" i="105" s="1"/>
  <c r="J41" i="105"/>
  <c r="J5" i="105" s="1"/>
  <c r="Y6" i="104"/>
  <c r="Z6" i="104" s="1"/>
  <c r="Y16" i="104"/>
  <c r="Z16" i="104" s="1"/>
  <c r="R6" i="104"/>
  <c r="L6" i="104" s="1"/>
  <c r="L9" i="104" s="1"/>
  <c r="L2" i="104" s="1"/>
  <c r="S16" i="104"/>
  <c r="M16" i="104" s="1"/>
  <c r="S6" i="104"/>
  <c r="M6" i="104" s="1"/>
  <c r="M9" i="104" s="1"/>
  <c r="M2" i="104" s="1"/>
  <c r="R16" i="104"/>
  <c r="L16" i="104" s="1"/>
  <c r="S28" i="105"/>
  <c r="M28" i="105" s="1"/>
  <c r="J10" i="105"/>
  <c r="S46" i="105"/>
  <c r="M46" i="105" s="1"/>
  <c r="S48" i="105"/>
  <c r="M48" i="105" s="1"/>
  <c r="Y9" i="105"/>
  <c r="Y25" i="105"/>
  <c r="Y29" i="105"/>
  <c r="Y37" i="105"/>
  <c r="N37" i="105" s="1"/>
  <c r="I30" i="105"/>
  <c r="I26" i="105"/>
  <c r="I41" i="105" s="1"/>
  <c r="I5" i="105" s="1"/>
  <c r="I18" i="105"/>
  <c r="S47" i="105"/>
  <c r="M47" i="105" s="1"/>
  <c r="S13" i="105"/>
  <c r="M13" i="105" s="1"/>
  <c r="Y22" i="105"/>
  <c r="Y26" i="105"/>
  <c r="R49" i="105"/>
  <c r="S49" i="105"/>
  <c r="M49" i="105" s="1"/>
  <c r="R48" i="105"/>
  <c r="R46" i="105"/>
  <c r="Y21" i="105"/>
  <c r="Y39" i="105"/>
  <c r="R35" i="105"/>
  <c r="L35" i="105" s="1"/>
  <c r="R33" i="105"/>
  <c r="L33" i="105" s="1"/>
  <c r="R14" i="105"/>
  <c r="L14" i="105" s="1"/>
  <c r="R13" i="105"/>
  <c r="L13" i="105" s="1"/>
  <c r="R34" i="105"/>
  <c r="L34" i="105" s="1"/>
  <c r="S33" i="105"/>
  <c r="M33" i="105" s="1"/>
  <c r="S24" i="105"/>
  <c r="M24" i="105" s="1"/>
  <c r="R17" i="105"/>
  <c r="L17" i="105" s="1"/>
  <c r="Y15" i="105"/>
  <c r="Y11" i="105"/>
  <c r="S37" i="105"/>
  <c r="M37" i="105" s="1"/>
  <c r="R36" i="105"/>
  <c r="L36" i="105" s="1"/>
  <c r="R31" i="105"/>
  <c r="L31" i="105" s="1"/>
  <c r="Y24" i="105"/>
  <c r="R22" i="105"/>
  <c r="L22" i="105" s="1"/>
  <c r="S17" i="105"/>
  <c r="M17" i="105" s="1"/>
  <c r="R9" i="105"/>
  <c r="L9" i="105" s="1"/>
  <c r="Y36" i="105"/>
  <c r="N32" i="105"/>
  <c r="Y31" i="105"/>
  <c r="Y19" i="105"/>
  <c r="Y40" i="105"/>
  <c r="Y38" i="105"/>
  <c r="Y35" i="105"/>
  <c r="Y10" i="105"/>
  <c r="Y33" i="105"/>
  <c r="Y28" i="105"/>
  <c r="N28" i="105" s="1"/>
  <c r="Y18" i="105"/>
  <c r="Y16" i="105"/>
  <c r="N16" i="105" s="1"/>
  <c r="Y12" i="105"/>
  <c r="S9" i="105"/>
  <c r="M9" i="105" s="1"/>
  <c r="S25" i="105"/>
  <c r="M25" i="105" s="1"/>
  <c r="S36" i="105"/>
  <c r="M36" i="105" s="1"/>
  <c r="S21" i="105"/>
  <c r="M21" i="105" s="1"/>
  <c r="S20" i="105"/>
  <c r="M20" i="105" s="1"/>
  <c r="N24" i="105"/>
  <c r="S23" i="105"/>
  <c r="M23" i="105" s="1"/>
  <c r="R37" i="105"/>
  <c r="L37" i="105" s="1"/>
  <c r="S35" i="105"/>
  <c r="M35" i="105" s="1"/>
  <c r="Y34" i="105"/>
  <c r="S30" i="105"/>
  <c r="M30" i="105" s="1"/>
  <c r="R29" i="105"/>
  <c r="L29" i="105" s="1"/>
  <c r="R27" i="105"/>
  <c r="L27" i="105" s="1"/>
  <c r="R23" i="105"/>
  <c r="L23" i="105" s="1"/>
  <c r="R19" i="105"/>
  <c r="L19" i="105" s="1"/>
  <c r="Y17" i="105"/>
  <c r="R12" i="105"/>
  <c r="L12" i="105" s="1"/>
  <c r="R24" i="105"/>
  <c r="L24" i="105" s="1"/>
  <c r="R16" i="105"/>
  <c r="L16" i="105" s="1"/>
  <c r="R40" i="105"/>
  <c r="L40" i="105" s="1"/>
  <c r="S39" i="105"/>
  <c r="M39" i="105" s="1"/>
  <c r="R32" i="105"/>
  <c r="L32" i="105" s="1"/>
  <c r="S31" i="105"/>
  <c r="M31" i="105" s="1"/>
  <c r="Y30" i="105"/>
  <c r="S26" i="105"/>
  <c r="M26" i="105" s="1"/>
  <c r="R25" i="105"/>
  <c r="L25" i="105" s="1"/>
  <c r="R21" i="105"/>
  <c r="L21" i="105" s="1"/>
  <c r="N20" i="105"/>
  <c r="S18" i="105"/>
  <c r="M18" i="105" s="1"/>
  <c r="R15" i="105"/>
  <c r="L15" i="105" s="1"/>
  <c r="Y13" i="105"/>
  <c r="N13" i="105" s="1"/>
  <c r="S12" i="105"/>
  <c r="M12" i="105" s="1"/>
  <c r="S34" i="105"/>
  <c r="M34" i="105" s="1"/>
  <c r="S29" i="105"/>
  <c r="M29" i="105" s="1"/>
  <c r="S10" i="105"/>
  <c r="M10" i="105" s="1"/>
  <c r="S40" i="105"/>
  <c r="M40" i="105" s="1"/>
  <c r="R39" i="105"/>
  <c r="L39" i="105" s="1"/>
  <c r="S38" i="105"/>
  <c r="M38" i="105" s="1"/>
  <c r="N33" i="105"/>
  <c r="R28" i="105"/>
  <c r="L28" i="105" s="1"/>
  <c r="S27" i="105"/>
  <c r="M27" i="105" s="1"/>
  <c r="S22" i="105"/>
  <c r="M22" i="105" s="1"/>
  <c r="R20" i="105"/>
  <c r="L20" i="105" s="1"/>
  <c r="S14" i="105"/>
  <c r="M14" i="105" s="1"/>
  <c r="R11" i="105"/>
  <c r="L11" i="105" s="1"/>
  <c r="S19" i="105"/>
  <c r="M19" i="105" s="1"/>
  <c r="S15" i="105"/>
  <c r="M15" i="105" s="1"/>
  <c r="S11" i="105"/>
  <c r="M11" i="105" s="1"/>
  <c r="M3" i="105" s="1"/>
  <c r="N9" i="105"/>
  <c r="X8" i="105"/>
  <c r="V8" i="105"/>
  <c r="W8" i="105" s="1"/>
  <c r="P8" i="105"/>
  <c r="J8" i="105" s="1"/>
  <c r="O8" i="105"/>
  <c r="M4" i="105" l="1"/>
  <c r="L41" i="105"/>
  <c r="L5" i="105" s="1"/>
  <c r="M41" i="105"/>
  <c r="M5" i="105" s="1"/>
  <c r="AA16" i="104"/>
  <c r="N16" i="104" s="1"/>
  <c r="AA6" i="104"/>
  <c r="N6" i="104"/>
  <c r="N9" i="104" s="1"/>
  <c r="N2" i="104" s="1"/>
  <c r="R8" i="105"/>
  <c r="L8" i="105" s="1"/>
  <c r="I8" i="105"/>
  <c r="N47" i="105"/>
  <c r="N48" i="105"/>
  <c r="N49" i="105"/>
  <c r="N25" i="105"/>
  <c r="N17" i="105"/>
  <c r="Y8" i="105"/>
  <c r="N19" i="105"/>
  <c r="N36" i="105"/>
  <c r="N21" i="105"/>
  <c r="N12" i="105"/>
  <c r="N11" i="105"/>
  <c r="N3" i="105" s="1"/>
  <c r="N40" i="105"/>
  <c r="N29" i="105"/>
  <c r="N30" i="105"/>
  <c r="N35" i="105"/>
  <c r="N14" i="105"/>
  <c r="N27" i="105"/>
  <c r="N10" i="105"/>
  <c r="N2" i="105" s="1"/>
  <c r="N34" i="105"/>
  <c r="N18" i="105"/>
  <c r="N39" i="105"/>
  <c r="N15" i="105"/>
  <c r="N22" i="105"/>
  <c r="N38" i="105"/>
  <c r="N26" i="105"/>
  <c r="N31" i="105"/>
  <c r="N23" i="105"/>
  <c r="S8" i="105"/>
  <c r="M8" i="105" s="1"/>
  <c r="M2" i="105" s="1"/>
  <c r="Z22" i="108"/>
  <c r="AA22" i="108" s="1"/>
  <c r="Z21" i="108"/>
  <c r="AA21" i="108" s="1"/>
  <c r="Z20" i="108"/>
  <c r="Z19" i="108"/>
  <c r="AA19" i="108" s="1"/>
  <c r="Z18" i="108"/>
  <c r="AA18" i="108" s="1"/>
  <c r="AC18" i="108" s="1"/>
  <c r="Z17" i="108"/>
  <c r="Z16" i="108"/>
  <c r="AA16" i="108" s="1"/>
  <c r="Z15" i="108"/>
  <c r="AA15" i="108" s="1"/>
  <c r="Z14" i="108"/>
  <c r="AA14" i="108" s="1"/>
  <c r="Z13" i="108"/>
  <c r="Z12" i="108"/>
  <c r="V52" i="106"/>
  <c r="W52" i="106" s="1"/>
  <c r="V51" i="106"/>
  <c r="W51" i="106" s="1"/>
  <c r="V50" i="106"/>
  <c r="V49" i="106"/>
  <c r="W49" i="106" s="1"/>
  <c r="V48" i="106"/>
  <c r="V47" i="106"/>
  <c r="W47" i="106" s="1"/>
  <c r="V46" i="106"/>
  <c r="V45" i="106"/>
  <c r="W45" i="106" s="1"/>
  <c r="V44" i="106"/>
  <c r="V43" i="106"/>
  <c r="W43" i="106" s="1"/>
  <c r="V42" i="106"/>
  <c r="V41" i="106"/>
  <c r="W41" i="106" s="1"/>
  <c r="V40" i="106"/>
  <c r="S12" i="108"/>
  <c r="M12" i="108" s="1"/>
  <c r="T12" i="108"/>
  <c r="N12" i="108" s="1"/>
  <c r="AA12" i="108"/>
  <c r="AB12" i="108"/>
  <c r="S13" i="108"/>
  <c r="M13" i="108" s="1"/>
  <c r="T13" i="108"/>
  <c r="N13" i="108" s="1"/>
  <c r="AA13" i="108"/>
  <c r="AB13" i="108"/>
  <c r="S14" i="108"/>
  <c r="M14" i="108" s="1"/>
  <c r="T14" i="108"/>
  <c r="N14" i="108" s="1"/>
  <c r="AB14" i="108"/>
  <c r="S15" i="108"/>
  <c r="T15" i="108"/>
  <c r="N15" i="108" s="1"/>
  <c r="AB15" i="108"/>
  <c r="S16" i="108"/>
  <c r="M16" i="108" s="1"/>
  <c r="T16" i="108"/>
  <c r="N16" i="108" s="1"/>
  <c r="AB16" i="108"/>
  <c r="S17" i="108"/>
  <c r="M17" i="108" s="1"/>
  <c r="T17" i="108"/>
  <c r="N17" i="108" s="1"/>
  <c r="AA17" i="108"/>
  <c r="AB17" i="108"/>
  <c r="S18" i="108"/>
  <c r="T18" i="108"/>
  <c r="N18" i="108" s="1"/>
  <c r="AB18" i="108"/>
  <c r="S19" i="108"/>
  <c r="M19" i="108" s="1"/>
  <c r="T19" i="108"/>
  <c r="N19" i="108" s="1"/>
  <c r="AB19" i="108"/>
  <c r="S20" i="108"/>
  <c r="M20" i="108" s="1"/>
  <c r="T20" i="108"/>
  <c r="N20" i="108" s="1"/>
  <c r="AA20" i="108"/>
  <c r="AB20" i="108"/>
  <c r="S21" i="108"/>
  <c r="M21" i="108" s="1"/>
  <c r="T21" i="108"/>
  <c r="N21" i="108" s="1"/>
  <c r="O21" i="108"/>
  <c r="AB21" i="108"/>
  <c r="S22" i="108"/>
  <c r="M22" i="108" s="1"/>
  <c r="T22" i="108"/>
  <c r="N22" i="108" s="1"/>
  <c r="AB22" i="108"/>
  <c r="AB11" i="108"/>
  <c r="Z11" i="108"/>
  <c r="AA11" i="108" s="1"/>
  <c r="T11" i="108"/>
  <c r="N11" i="108" s="1"/>
  <c r="S11" i="108"/>
  <c r="P11" i="108" s="1"/>
  <c r="O40" i="106"/>
  <c r="P40" i="106"/>
  <c r="S40" i="106"/>
  <c r="O41" i="106"/>
  <c r="P41" i="106"/>
  <c r="S41" i="106"/>
  <c r="R41" i="106"/>
  <c r="O42" i="106"/>
  <c r="P42" i="106"/>
  <c r="S42" i="106"/>
  <c r="O43" i="106"/>
  <c r="R43" i="106" s="1"/>
  <c r="P43" i="106"/>
  <c r="O44" i="106"/>
  <c r="P44" i="106"/>
  <c r="O45" i="106"/>
  <c r="P45" i="106"/>
  <c r="O46" i="106"/>
  <c r="P46" i="106"/>
  <c r="R46" i="106" s="1"/>
  <c r="O47" i="106"/>
  <c r="P47" i="106"/>
  <c r="O48" i="106"/>
  <c r="S48" i="106" s="1"/>
  <c r="P48" i="106"/>
  <c r="R48" i="106" s="1"/>
  <c r="O49" i="106"/>
  <c r="P49" i="106"/>
  <c r="O50" i="106"/>
  <c r="P50" i="106"/>
  <c r="O51" i="106"/>
  <c r="P51" i="106"/>
  <c r="O52" i="106"/>
  <c r="P52" i="106"/>
  <c r="P39" i="106"/>
  <c r="J39" i="106" s="1"/>
  <c r="O39" i="106"/>
  <c r="I39" i="106" s="1"/>
  <c r="I40" i="106"/>
  <c r="J40" i="106"/>
  <c r="W40" i="106"/>
  <c r="X40" i="106"/>
  <c r="I41" i="106"/>
  <c r="J41" i="106"/>
  <c r="M41" i="106"/>
  <c r="X41" i="106"/>
  <c r="I42" i="106"/>
  <c r="J42" i="106"/>
  <c r="M42" i="106"/>
  <c r="W42" i="106"/>
  <c r="X42" i="106"/>
  <c r="I43" i="106"/>
  <c r="J43" i="106"/>
  <c r="X43" i="106"/>
  <c r="I44" i="106"/>
  <c r="L44" i="106" s="1"/>
  <c r="J44" i="106"/>
  <c r="W44" i="106"/>
  <c r="X44" i="106"/>
  <c r="I45" i="106"/>
  <c r="J45" i="106"/>
  <c r="M45" i="106"/>
  <c r="X45" i="106"/>
  <c r="I46" i="106"/>
  <c r="J46" i="106"/>
  <c r="M46" i="106"/>
  <c r="W46" i="106"/>
  <c r="X46" i="106"/>
  <c r="I47" i="106"/>
  <c r="J47" i="106"/>
  <c r="X47" i="106"/>
  <c r="I48" i="106"/>
  <c r="J48" i="106"/>
  <c r="W48" i="106"/>
  <c r="X48" i="106"/>
  <c r="I49" i="106"/>
  <c r="J49" i="106"/>
  <c r="X49" i="106"/>
  <c r="I50" i="106"/>
  <c r="J50" i="106"/>
  <c r="W50" i="106"/>
  <c r="X50" i="106"/>
  <c r="I51" i="106"/>
  <c r="J51" i="106"/>
  <c r="X51" i="106"/>
  <c r="I52" i="106"/>
  <c r="J52" i="106"/>
  <c r="X52" i="106"/>
  <c r="X39" i="106"/>
  <c r="V39" i="106"/>
  <c r="W39" i="106" s="1"/>
  <c r="S13" i="106"/>
  <c r="S15" i="106"/>
  <c r="S16" i="106"/>
  <c r="S17" i="106"/>
  <c r="S18" i="106"/>
  <c r="S19" i="106"/>
  <c r="S20" i="106"/>
  <c r="S21" i="106"/>
  <c r="S22" i="106"/>
  <c r="S23" i="106"/>
  <c r="S24" i="106"/>
  <c r="S25" i="106"/>
  <c r="S26" i="106"/>
  <c r="S27" i="106"/>
  <c r="S28" i="106"/>
  <c r="S29" i="106"/>
  <c r="S30" i="106"/>
  <c r="S31" i="106"/>
  <c r="S32" i="106"/>
  <c r="S33" i="106"/>
  <c r="S34" i="106"/>
  <c r="Q34" i="106"/>
  <c r="R34" i="106" s="1"/>
  <c r="Q33" i="106"/>
  <c r="R33" i="106" s="1"/>
  <c r="Q32" i="106"/>
  <c r="R32" i="106" s="1"/>
  <c r="Q31" i="106"/>
  <c r="R31" i="106" s="1"/>
  <c r="Q30" i="106"/>
  <c r="R30" i="106" s="1"/>
  <c r="Q29" i="106"/>
  <c r="R29" i="106" s="1"/>
  <c r="Q28" i="106"/>
  <c r="R28" i="106" s="1"/>
  <c r="Q27" i="106"/>
  <c r="R27" i="106" s="1"/>
  <c r="Q26" i="106"/>
  <c r="R26" i="106" s="1"/>
  <c r="Q25" i="106"/>
  <c r="R25" i="106" s="1"/>
  <c r="Q24" i="106"/>
  <c r="R24" i="106" s="1"/>
  <c r="Q23" i="106"/>
  <c r="R23" i="106" s="1"/>
  <c r="Q22" i="106"/>
  <c r="R22" i="106" s="1"/>
  <c r="Q21" i="106"/>
  <c r="R21" i="106" s="1"/>
  <c r="Q20" i="106"/>
  <c r="R20" i="106" s="1"/>
  <c r="Q19" i="106"/>
  <c r="R19" i="106" s="1"/>
  <c r="Q18" i="106"/>
  <c r="R18" i="106" s="1"/>
  <c r="Q17" i="106"/>
  <c r="R17" i="106" s="1"/>
  <c r="Q16" i="106"/>
  <c r="R16" i="106" s="1"/>
  <c r="Q15" i="106"/>
  <c r="R15" i="106" s="1"/>
  <c r="Q14" i="106"/>
  <c r="R14" i="106" s="1"/>
  <c r="T14" i="106" s="1"/>
  <c r="Q13" i="106"/>
  <c r="R13" i="106" s="1"/>
  <c r="K6" i="106"/>
  <c r="J34" i="106"/>
  <c r="I34" i="106"/>
  <c r="J33" i="106"/>
  <c r="I33" i="106"/>
  <c r="J32" i="106"/>
  <c r="I32" i="106"/>
  <c r="J31" i="106"/>
  <c r="I31" i="106"/>
  <c r="J30" i="106"/>
  <c r="I30" i="106"/>
  <c r="J29" i="106"/>
  <c r="I29" i="106"/>
  <c r="J28" i="106"/>
  <c r="I28" i="106"/>
  <c r="J27" i="106"/>
  <c r="I27" i="106"/>
  <c r="J26" i="106"/>
  <c r="I26" i="106"/>
  <c r="J25" i="106"/>
  <c r="I25" i="106"/>
  <c r="J24" i="106"/>
  <c r="I24" i="106"/>
  <c r="J23" i="106"/>
  <c r="I23" i="106"/>
  <c r="J22" i="106"/>
  <c r="I22" i="106"/>
  <c r="J21" i="106"/>
  <c r="I21" i="106"/>
  <c r="J20" i="106"/>
  <c r="I20" i="106"/>
  <c r="J19" i="106"/>
  <c r="I19" i="106"/>
  <c r="J18" i="106"/>
  <c r="I18" i="106"/>
  <c r="J17" i="106"/>
  <c r="I17" i="106"/>
  <c r="I4" i="106" s="1"/>
  <c r="J16" i="106"/>
  <c r="I16" i="106"/>
  <c r="J15" i="106"/>
  <c r="I15" i="106"/>
  <c r="J14" i="106"/>
  <c r="J5" i="106" s="1"/>
  <c r="I14" i="106"/>
  <c r="J13" i="106"/>
  <c r="I13" i="106"/>
  <c r="J12" i="106"/>
  <c r="J6" i="106" s="1"/>
  <c r="I12" i="106"/>
  <c r="N4" i="105" l="1"/>
  <c r="N41" i="105"/>
  <c r="N5" i="105" s="1"/>
  <c r="V18" i="108"/>
  <c r="P18" i="108" s="1"/>
  <c r="O17" i="108"/>
  <c r="O16" i="108"/>
  <c r="AD16" i="108"/>
  <c r="O15" i="108"/>
  <c r="O13" i="108"/>
  <c r="O20" i="108"/>
  <c r="W12" i="108"/>
  <c r="Q12" i="108" s="1"/>
  <c r="O22" i="108"/>
  <c r="W21" i="108"/>
  <c r="Q21" i="108" s="1"/>
  <c r="O18" i="108"/>
  <c r="AD18" i="108"/>
  <c r="AE18" i="108" s="1"/>
  <c r="V15" i="108"/>
  <c r="P15" i="108" s="1"/>
  <c r="O14" i="108"/>
  <c r="O12" i="108"/>
  <c r="O19" i="108"/>
  <c r="V14" i="108"/>
  <c r="P14" i="108" s="1"/>
  <c r="J4" i="106"/>
  <c r="K5" i="106"/>
  <c r="L40" i="106"/>
  <c r="R45" i="106"/>
  <c r="I6" i="106"/>
  <c r="I5" i="106"/>
  <c r="K4" i="106"/>
  <c r="S51" i="106"/>
  <c r="I3" i="106"/>
  <c r="M52" i="106"/>
  <c r="M20" i="106"/>
  <c r="L22" i="106"/>
  <c r="M28" i="106"/>
  <c r="T20" i="106"/>
  <c r="T24" i="106"/>
  <c r="T28" i="106"/>
  <c r="U28" i="106" s="1"/>
  <c r="T32" i="106"/>
  <c r="Y39" i="106"/>
  <c r="J3" i="106"/>
  <c r="K3" i="106"/>
  <c r="N28" i="101"/>
  <c r="S52" i="106"/>
  <c r="L24" i="106"/>
  <c r="I2" i="106"/>
  <c r="J2" i="106"/>
  <c r="Y40" i="106"/>
  <c r="Z40" i="106" s="1"/>
  <c r="L12" i="106"/>
  <c r="L6" i="106" s="1"/>
  <c r="M12" i="106"/>
  <c r="L16" i="106"/>
  <c r="L25" i="101"/>
  <c r="N31" i="101"/>
  <c r="N30" i="101"/>
  <c r="U14" i="106"/>
  <c r="M27" i="101"/>
  <c r="M26" i="101"/>
  <c r="U20" i="106"/>
  <c r="L48" i="106"/>
  <c r="R44" i="106"/>
  <c r="L14" i="106"/>
  <c r="L5" i="106" s="1"/>
  <c r="L26" i="101"/>
  <c r="L27" i="101"/>
  <c r="L18" i="106"/>
  <c r="L24" i="101"/>
  <c r="M25" i="101"/>
  <c r="U32" i="106"/>
  <c r="L28" i="101"/>
  <c r="L23" i="101"/>
  <c r="L31" i="101"/>
  <c r="L30" i="101"/>
  <c r="N23" i="101"/>
  <c r="L52" i="106"/>
  <c r="R52" i="106"/>
  <c r="S47" i="106"/>
  <c r="S44" i="106"/>
  <c r="M24" i="101"/>
  <c r="U24" i="106"/>
  <c r="N24" i="106" s="1"/>
  <c r="N25" i="101"/>
  <c r="L15" i="106"/>
  <c r="M15" i="106"/>
  <c r="L29" i="101"/>
  <c r="N29" i="101"/>
  <c r="M28" i="101"/>
  <c r="M23" i="101"/>
  <c r="M31" i="101"/>
  <c r="M30" i="101"/>
  <c r="M29" i="101"/>
  <c r="U31" i="106"/>
  <c r="N24" i="101"/>
  <c r="N26" i="101"/>
  <c r="N27" i="101"/>
  <c r="R49" i="106"/>
  <c r="S46" i="106"/>
  <c r="S45" i="106"/>
  <c r="R40" i="106"/>
  <c r="AA40" i="106" s="1"/>
  <c r="N40" i="106" s="1"/>
  <c r="AC15" i="108"/>
  <c r="AD15" i="108" s="1"/>
  <c r="AE15" i="108" s="1"/>
  <c r="AC20" i="108"/>
  <c r="AD20" i="108" s="1"/>
  <c r="AC17" i="108"/>
  <c r="AD17" i="108" s="1"/>
  <c r="AE17" i="108" s="1"/>
  <c r="AC13" i="108"/>
  <c r="AD13" i="108" s="1"/>
  <c r="M18" i="108"/>
  <c r="AC11" i="108"/>
  <c r="AD11" i="108" s="1"/>
  <c r="AE11" i="108" s="1"/>
  <c r="R11" i="108" s="1"/>
  <c r="AC12" i="108"/>
  <c r="AD12" i="108" s="1"/>
  <c r="M11" i="108"/>
  <c r="W20" i="108"/>
  <c r="Q20" i="108" s="1"/>
  <c r="V19" i="108"/>
  <c r="P19" i="108" s="1"/>
  <c r="M15" i="108"/>
  <c r="AC19" i="108"/>
  <c r="AD19" i="108" s="1"/>
  <c r="AC16" i="108"/>
  <c r="Y46" i="106"/>
  <c r="T17" i="106"/>
  <c r="U17" i="106" s="1"/>
  <c r="T13" i="106"/>
  <c r="U13" i="106" s="1"/>
  <c r="AC22" i="108"/>
  <c r="AD22" i="108" s="1"/>
  <c r="AC21" i="108"/>
  <c r="AC14" i="108"/>
  <c r="AD14" i="108" s="1"/>
  <c r="AE14" i="108" s="1"/>
  <c r="W17" i="108"/>
  <c r="Q17" i="108" s="1"/>
  <c r="W16" i="108"/>
  <c r="Q16" i="108" s="1"/>
  <c r="V22" i="108"/>
  <c r="P22" i="108" s="1"/>
  <c r="V21" i="108"/>
  <c r="P21" i="108" s="1"/>
  <c r="V17" i="108"/>
  <c r="P17" i="108" s="1"/>
  <c r="V13" i="108"/>
  <c r="P13" i="108" s="1"/>
  <c r="W13" i="108"/>
  <c r="V20" i="108"/>
  <c r="P20" i="108" s="1"/>
  <c r="W19" i="108"/>
  <c r="V16" i="108"/>
  <c r="P16" i="108" s="1"/>
  <c r="W15" i="108"/>
  <c r="V12" i="108"/>
  <c r="P12" i="108" s="1"/>
  <c r="W22" i="108"/>
  <c r="W18" i="108"/>
  <c r="W14" i="108"/>
  <c r="W11" i="108"/>
  <c r="Q11" i="108" s="1"/>
  <c r="L26" i="106"/>
  <c r="L30" i="106"/>
  <c r="L32" i="106"/>
  <c r="L34" i="106"/>
  <c r="L51" i="106"/>
  <c r="M48" i="106"/>
  <c r="L43" i="106"/>
  <c r="S50" i="106"/>
  <c r="S49" i="106"/>
  <c r="R42" i="106"/>
  <c r="R50" i="106"/>
  <c r="R39" i="106"/>
  <c r="L39" i="106" s="1"/>
  <c r="M51" i="106"/>
  <c r="L49" i="106"/>
  <c r="M43" i="106"/>
  <c r="L42" i="106"/>
  <c r="S39" i="106"/>
  <c r="S43" i="106"/>
  <c r="R51" i="106"/>
  <c r="R47" i="106"/>
  <c r="Y50" i="106"/>
  <c r="Z50" i="106" s="1"/>
  <c r="AA50" i="106" s="1"/>
  <c r="L50" i="106"/>
  <c r="M49" i="106"/>
  <c r="L45" i="106"/>
  <c r="Y41" i="106"/>
  <c r="Z41" i="106" s="1"/>
  <c r="L41" i="106"/>
  <c r="M40" i="106"/>
  <c r="T33" i="106"/>
  <c r="U33" i="106" s="1"/>
  <c r="Y52" i="106"/>
  <c r="Z52" i="106" s="1"/>
  <c r="M50" i="106"/>
  <c r="Y48" i="106"/>
  <c r="Z48" i="106" s="1"/>
  <c r="M47" i="106"/>
  <c r="L46" i="106"/>
  <c r="M44" i="106"/>
  <c r="Y43" i="106"/>
  <c r="Z43" i="106" s="1"/>
  <c r="AA43" i="106" s="1"/>
  <c r="T26" i="106"/>
  <c r="U26" i="106" s="1"/>
  <c r="L47" i="106"/>
  <c r="Y42" i="106"/>
  <c r="Z42" i="106" s="1"/>
  <c r="Y51" i="106"/>
  <c r="Z51" i="106" s="1"/>
  <c r="Y45" i="106"/>
  <c r="Z45" i="106" s="1"/>
  <c r="Y49" i="106"/>
  <c r="Z49" i="106" s="1"/>
  <c r="AA49" i="106" s="1"/>
  <c r="Y44" i="106"/>
  <c r="Z44" i="106" s="1"/>
  <c r="Y47" i="106"/>
  <c r="Z47" i="106" s="1"/>
  <c r="Z46" i="106"/>
  <c r="Z39" i="106"/>
  <c r="AA39" i="106" s="1"/>
  <c r="T16" i="106"/>
  <c r="U16" i="106" s="1"/>
  <c r="L21" i="106"/>
  <c r="L25" i="106"/>
  <c r="T21" i="106"/>
  <c r="U21" i="106" s="1"/>
  <c r="T25" i="106"/>
  <c r="U25" i="106" s="1"/>
  <c r="T18" i="106"/>
  <c r="U18" i="106" s="1"/>
  <c r="T22" i="106"/>
  <c r="U22" i="106" s="1"/>
  <c r="T30" i="106"/>
  <c r="U30" i="106" s="1"/>
  <c r="T34" i="106"/>
  <c r="U34" i="106" s="1"/>
  <c r="T31" i="106"/>
  <c r="T29" i="106"/>
  <c r="U29" i="106" s="1"/>
  <c r="T27" i="106"/>
  <c r="U27" i="106" s="1"/>
  <c r="T23" i="106"/>
  <c r="U23" i="106" s="1"/>
  <c r="T15" i="106"/>
  <c r="U15" i="106" s="1"/>
  <c r="L13" i="106"/>
  <c r="L29" i="106"/>
  <c r="T19" i="106"/>
  <c r="U19" i="106" s="1"/>
  <c r="M13" i="106"/>
  <c r="M17" i="106"/>
  <c r="L19" i="106"/>
  <c r="M21" i="106"/>
  <c r="L23" i="106"/>
  <c r="M25" i="106"/>
  <c r="L27" i="106"/>
  <c r="M29" i="106"/>
  <c r="L31" i="106"/>
  <c r="M33" i="106"/>
  <c r="L33" i="106"/>
  <c r="L17" i="106"/>
  <c r="M32" i="106"/>
  <c r="M24" i="106"/>
  <c r="M16" i="106"/>
  <c r="L28" i="106"/>
  <c r="L20" i="106"/>
  <c r="N20" i="106" s="1"/>
  <c r="M31" i="106"/>
  <c r="M27" i="106"/>
  <c r="M23" i="106"/>
  <c r="M19" i="106"/>
  <c r="P23" i="101" s="1"/>
  <c r="M34" i="106"/>
  <c r="M30" i="106"/>
  <c r="M26" i="106"/>
  <c r="M22" i="106"/>
  <c r="M18" i="106"/>
  <c r="M14" i="106"/>
  <c r="M5" i="106" s="1"/>
  <c r="AE12" i="108" l="1"/>
  <c r="AE22" i="108"/>
  <c r="AE20" i="108"/>
  <c r="R20" i="108" s="1"/>
  <c r="AE19" i="108"/>
  <c r="R19" i="108" s="1"/>
  <c r="AE13" i="108"/>
  <c r="AE16" i="108"/>
  <c r="R16" i="108" s="1"/>
  <c r="AD21" i="108"/>
  <c r="AE21" i="108" s="1"/>
  <c r="R21" i="108" s="1"/>
  <c r="R12" i="108"/>
  <c r="M4" i="106"/>
  <c r="L4" i="106"/>
  <c r="M6" i="106"/>
  <c r="N22" i="106"/>
  <c r="N32" i="106"/>
  <c r="N26" i="106"/>
  <c r="N28" i="106"/>
  <c r="P24" i="101"/>
  <c r="L3" i="106"/>
  <c r="P29" i="101"/>
  <c r="M3" i="106"/>
  <c r="L2" i="106"/>
  <c r="AA47" i="106"/>
  <c r="N47" i="106" s="1"/>
  <c r="AA51" i="106"/>
  <c r="N51" i="106" s="1"/>
  <c r="AA48" i="106"/>
  <c r="N48" i="106" s="1"/>
  <c r="N14" i="106"/>
  <c r="O27" i="101"/>
  <c r="O26" i="101"/>
  <c r="N16" i="106"/>
  <c r="O25" i="101"/>
  <c r="P26" i="101"/>
  <c r="P27" i="101"/>
  <c r="P25" i="101"/>
  <c r="N33" i="106"/>
  <c r="N27" i="106"/>
  <c r="N19" i="106"/>
  <c r="Q23" i="101" s="1"/>
  <c r="O23" i="101"/>
  <c r="N29" i="106"/>
  <c r="AA44" i="106"/>
  <c r="N44" i="106" s="1"/>
  <c r="AA42" i="106"/>
  <c r="N42" i="106" s="1"/>
  <c r="N30" i="106"/>
  <c r="N18" i="106"/>
  <c r="Q24" i="101" s="1"/>
  <c r="O24" i="101"/>
  <c r="N17" i="106"/>
  <c r="O28" i="101"/>
  <c r="P30" i="101"/>
  <c r="P31" i="101"/>
  <c r="P28" i="101"/>
  <c r="N13" i="106"/>
  <c r="N25" i="106"/>
  <c r="AA46" i="106"/>
  <c r="N46" i="106" s="1"/>
  <c r="AA52" i="106"/>
  <c r="N52" i="106" s="1"/>
  <c r="AA41" i="106"/>
  <c r="N41" i="106" s="1"/>
  <c r="N31" i="106"/>
  <c r="N23" i="106"/>
  <c r="O29" i="101"/>
  <c r="N21" i="106"/>
  <c r="O30" i="101"/>
  <c r="O31" i="101"/>
  <c r="AA45" i="106"/>
  <c r="N45" i="106" s="1"/>
  <c r="N34" i="106"/>
  <c r="N15" i="106"/>
  <c r="R17" i="108"/>
  <c r="Q18" i="108"/>
  <c r="R18" i="108"/>
  <c r="Q14" i="108"/>
  <c r="R14" i="108"/>
  <c r="R22" i="108"/>
  <c r="Q22" i="108"/>
  <c r="Q13" i="108"/>
  <c r="R13" i="108"/>
  <c r="Q15" i="108"/>
  <c r="R15" i="108"/>
  <c r="Q19" i="108"/>
  <c r="N43" i="106"/>
  <c r="N39" i="106"/>
  <c r="M39" i="106"/>
  <c r="M2" i="106" s="1"/>
  <c r="N49" i="106"/>
  <c r="N50" i="106"/>
  <c r="N4" i="106" l="1"/>
  <c r="N5" i="106"/>
  <c r="N2" i="106"/>
  <c r="Q28" i="101"/>
  <c r="N3" i="106"/>
  <c r="Q30" i="101"/>
  <c r="Q31" i="101"/>
  <c r="Q25" i="101"/>
  <c r="Q27" i="101"/>
  <c r="Q26" i="101"/>
  <c r="Q29" i="101"/>
  <c r="S12" i="106" l="1"/>
  <c r="Q12" i="106"/>
  <c r="R12" i="106" s="1"/>
  <c r="T12" i="106" l="1"/>
  <c r="U12" i="106" s="1"/>
  <c r="N12" i="106" s="1"/>
  <c r="N6" i="106" s="1"/>
  <c r="S12" i="93"/>
  <c r="R12" i="93"/>
  <c r="V12" i="93" s="1"/>
  <c r="P12" i="93" s="1"/>
  <c r="J12" i="93" s="1"/>
  <c r="S11" i="93"/>
  <c r="R11" i="93"/>
  <c r="L11" i="93" s="1"/>
  <c r="F11" i="93" s="1"/>
  <c r="S10" i="93"/>
  <c r="R10" i="93"/>
  <c r="V10" i="93" s="1"/>
  <c r="P10" i="93" s="1"/>
  <c r="J10" i="93" s="1"/>
  <c r="S9" i="93"/>
  <c r="M9" i="93" s="1"/>
  <c r="R9" i="93"/>
  <c r="L9" i="93" s="1"/>
  <c r="S32" i="93"/>
  <c r="M32" i="93" s="1"/>
  <c r="G32" i="93" s="1"/>
  <c r="R32" i="93"/>
  <c r="S31" i="93"/>
  <c r="R31" i="93"/>
  <c r="V31" i="93" s="1"/>
  <c r="S30" i="93"/>
  <c r="R30" i="93"/>
  <c r="V30" i="93" s="1"/>
  <c r="S29" i="93"/>
  <c r="M29" i="93" s="1"/>
  <c r="G29" i="93" s="1"/>
  <c r="R29" i="93"/>
  <c r="V29" i="93" s="1"/>
  <c r="S28" i="93"/>
  <c r="R28" i="93"/>
  <c r="V28" i="93" s="1"/>
  <c r="S27" i="93"/>
  <c r="M27" i="93" s="1"/>
  <c r="G27" i="93" s="1"/>
  <c r="R27" i="93"/>
  <c r="V27" i="93" s="1"/>
  <c r="S26" i="93"/>
  <c r="R26" i="93"/>
  <c r="S25" i="93"/>
  <c r="M25" i="93" s="1"/>
  <c r="G25" i="93" s="1"/>
  <c r="R25" i="93"/>
  <c r="S24" i="93"/>
  <c r="R24" i="93"/>
  <c r="V24" i="93" s="1"/>
  <c r="S23" i="93"/>
  <c r="M23" i="93" s="1"/>
  <c r="G23" i="93" s="1"/>
  <c r="R23" i="93"/>
  <c r="V23" i="93" s="1"/>
  <c r="S22" i="93"/>
  <c r="R22" i="93"/>
  <c r="S21" i="93"/>
  <c r="M21" i="93" s="1"/>
  <c r="G21" i="93" s="1"/>
  <c r="R21" i="93"/>
  <c r="V21" i="93" s="1"/>
  <c r="S20" i="93"/>
  <c r="R20" i="93"/>
  <c r="V20" i="93" s="1"/>
  <c r="S19" i="93"/>
  <c r="M19" i="93" s="1"/>
  <c r="G19" i="93" s="1"/>
  <c r="R19" i="93"/>
  <c r="V19" i="93" s="1"/>
  <c r="S18" i="93"/>
  <c r="R18" i="93"/>
  <c r="AA32" i="93"/>
  <c r="Y32" i="93"/>
  <c r="Z32" i="93" s="1"/>
  <c r="AB32" i="93" s="1"/>
  <c r="AC32" i="93" s="1"/>
  <c r="N32" i="93"/>
  <c r="H32" i="93" s="1"/>
  <c r="L32" i="93"/>
  <c r="F32" i="93" s="1"/>
  <c r="AA31" i="93"/>
  <c r="Y31" i="93"/>
  <c r="Z31" i="93" s="1"/>
  <c r="AB31" i="93" s="1"/>
  <c r="N31" i="93"/>
  <c r="H31" i="93" s="1"/>
  <c r="M31" i="93"/>
  <c r="G31" i="93" s="1"/>
  <c r="AA30" i="93"/>
  <c r="Y30" i="93"/>
  <c r="Z30" i="93" s="1"/>
  <c r="AB30" i="93" s="1"/>
  <c r="AC30" i="93" s="1"/>
  <c r="N30" i="93"/>
  <c r="H30" i="93" s="1"/>
  <c r="M30" i="93"/>
  <c r="G30" i="93" s="1"/>
  <c r="AA29" i="93"/>
  <c r="Y29" i="93"/>
  <c r="Z29" i="93" s="1"/>
  <c r="N29" i="93"/>
  <c r="H29" i="93" s="1"/>
  <c r="AA28" i="93"/>
  <c r="Y28" i="93"/>
  <c r="Z28" i="93" s="1"/>
  <c r="N28" i="93"/>
  <c r="H28" i="93" s="1"/>
  <c r="M28" i="93"/>
  <c r="G28" i="93" s="1"/>
  <c r="AA27" i="93"/>
  <c r="Y27" i="93"/>
  <c r="Z27" i="93" s="1"/>
  <c r="N27" i="93"/>
  <c r="H27" i="93" s="1"/>
  <c r="AA26" i="93"/>
  <c r="Y26" i="93"/>
  <c r="Z26" i="93" s="1"/>
  <c r="AB26" i="93" s="1"/>
  <c r="AC26" i="93" s="1"/>
  <c r="N26" i="93"/>
  <c r="H26" i="93" s="1"/>
  <c r="M26" i="93"/>
  <c r="G26" i="93" s="1"/>
  <c r="AA25" i="93"/>
  <c r="Y25" i="93"/>
  <c r="Z25" i="93" s="1"/>
  <c r="AB25" i="93" s="1"/>
  <c r="N25" i="93"/>
  <c r="H25" i="93" s="1"/>
  <c r="AA24" i="93"/>
  <c r="Y24" i="93"/>
  <c r="Z24" i="93" s="1"/>
  <c r="U24" i="93"/>
  <c r="O24" i="93" s="1"/>
  <c r="I24" i="93" s="1"/>
  <c r="N24" i="93"/>
  <c r="H24" i="93" s="1"/>
  <c r="M24" i="93"/>
  <c r="G24" i="93" s="1"/>
  <c r="AA23" i="93"/>
  <c r="Y23" i="93"/>
  <c r="Z23" i="93" s="1"/>
  <c r="AB23" i="93" s="1"/>
  <c r="N23" i="93"/>
  <c r="H23" i="93" s="1"/>
  <c r="AA22" i="93"/>
  <c r="Y22" i="93"/>
  <c r="Z22" i="93" s="1"/>
  <c r="V22" i="93"/>
  <c r="N22" i="93"/>
  <c r="H22" i="93" s="1"/>
  <c r="M22" i="93"/>
  <c r="G22" i="93" s="1"/>
  <c r="AA21" i="93"/>
  <c r="Y21" i="93"/>
  <c r="Z21" i="93" s="1"/>
  <c r="N21" i="93"/>
  <c r="H21" i="93" s="1"/>
  <c r="AA20" i="93"/>
  <c r="Y20" i="93"/>
  <c r="Z20" i="93" s="1"/>
  <c r="U20" i="93"/>
  <c r="O20" i="93" s="1"/>
  <c r="I20" i="93" s="1"/>
  <c r="N20" i="93"/>
  <c r="H20" i="93" s="1"/>
  <c r="M20" i="93"/>
  <c r="G20" i="93" s="1"/>
  <c r="AA19" i="93"/>
  <c r="Y19" i="93"/>
  <c r="Z19" i="93" s="1"/>
  <c r="AB19" i="93" s="1"/>
  <c r="N19" i="93"/>
  <c r="H19" i="93" s="1"/>
  <c r="AA12" i="93"/>
  <c r="Y12" i="93"/>
  <c r="Z12" i="93" s="1"/>
  <c r="N12" i="93"/>
  <c r="H12" i="93" s="1"/>
  <c r="AA11" i="93"/>
  <c r="Y11" i="93"/>
  <c r="Z11" i="93" s="1"/>
  <c r="N11" i="93"/>
  <c r="H11" i="93" s="1"/>
  <c r="AA10" i="93"/>
  <c r="Y10" i="93"/>
  <c r="Z10" i="93" s="1"/>
  <c r="N10" i="93"/>
  <c r="H10" i="93" s="1"/>
  <c r="AA9" i="93"/>
  <c r="Y9" i="93"/>
  <c r="Z9" i="93" s="1"/>
  <c r="N9" i="93"/>
  <c r="N18" i="93"/>
  <c r="H18" i="93" s="1"/>
  <c r="AA18" i="93"/>
  <c r="Y18" i="93"/>
  <c r="Z18" i="93" s="1"/>
  <c r="L10" i="93" l="1"/>
  <c r="F10" i="93" s="1"/>
  <c r="U30" i="93"/>
  <c r="O30" i="93" s="1"/>
  <c r="I30" i="93" s="1"/>
  <c r="AB9" i="93"/>
  <c r="AB10" i="93"/>
  <c r="AC10" i="93" s="1"/>
  <c r="Q10" i="93" s="1"/>
  <c r="K10" i="93" s="1"/>
  <c r="U22" i="93"/>
  <c r="O22" i="93" s="1"/>
  <c r="I22" i="93" s="1"/>
  <c r="U26" i="93"/>
  <c r="O26" i="93" s="1"/>
  <c r="I26" i="93" s="1"/>
  <c r="U32" i="93"/>
  <c r="O32" i="93" s="1"/>
  <c r="I32" i="93" s="1"/>
  <c r="F9" i="93"/>
  <c r="H9" i="93"/>
  <c r="C4" i="93" s="1"/>
  <c r="G9" i="93"/>
  <c r="AB11" i="93"/>
  <c r="AC11" i="93" s="1"/>
  <c r="AB12" i="93"/>
  <c r="AC12" i="93" s="1"/>
  <c r="AB22" i="93"/>
  <c r="AC22" i="93" s="1"/>
  <c r="AD22" i="93" s="1"/>
  <c r="Q22" i="93" s="1"/>
  <c r="K22" i="93" s="1"/>
  <c r="L30" i="93"/>
  <c r="F30" i="93" s="1"/>
  <c r="L12" i="93"/>
  <c r="F12" i="93" s="1"/>
  <c r="AB27" i="93"/>
  <c r="AC27" i="93" s="1"/>
  <c r="U28" i="93"/>
  <c r="O28" i="93" s="1"/>
  <c r="I28" i="93" s="1"/>
  <c r="V32" i="93"/>
  <c r="AD32" i="93" s="1"/>
  <c r="Q32" i="93" s="1"/>
  <c r="K32" i="93" s="1"/>
  <c r="Q20" i="93"/>
  <c r="K20" i="93" s="1"/>
  <c r="AC19" i="93"/>
  <c r="Q19" i="93" s="1"/>
  <c r="K19" i="93" s="1"/>
  <c r="AB20" i="93"/>
  <c r="AC20" i="93" s="1"/>
  <c r="AB21" i="93"/>
  <c r="AC21" i="93" s="1"/>
  <c r="Q21" i="93" s="1"/>
  <c r="K21" i="93" s="1"/>
  <c r="AB24" i="93"/>
  <c r="AC24" i="93" s="1"/>
  <c r="AD24" i="93" s="1"/>
  <c r="Q24" i="93" s="1"/>
  <c r="K24" i="93" s="1"/>
  <c r="V26" i="93"/>
  <c r="AD26" i="93" s="1"/>
  <c r="Q26" i="93" s="1"/>
  <c r="K26" i="93" s="1"/>
  <c r="AB28" i="93"/>
  <c r="AC28" i="93" s="1"/>
  <c r="AD28" i="93" s="1"/>
  <c r="Q28" i="93" s="1"/>
  <c r="K28" i="93" s="1"/>
  <c r="AB29" i="93"/>
  <c r="AC29" i="93" s="1"/>
  <c r="AD29" i="93" s="1"/>
  <c r="Q29" i="93" s="1"/>
  <c r="K29" i="93" s="1"/>
  <c r="U25" i="93"/>
  <c r="O25" i="93" s="1"/>
  <c r="I25" i="93" s="1"/>
  <c r="AD27" i="93"/>
  <c r="Q27" i="93" s="1"/>
  <c r="K27" i="93" s="1"/>
  <c r="O9" i="93"/>
  <c r="L28" i="93"/>
  <c r="F28" i="93" s="1"/>
  <c r="U29" i="93"/>
  <c r="O29" i="93" s="1"/>
  <c r="I29" i="93" s="1"/>
  <c r="AC31" i="93"/>
  <c r="AD31" i="93" s="1"/>
  <c r="Q31" i="93" s="1"/>
  <c r="K31" i="93" s="1"/>
  <c r="V11" i="93"/>
  <c r="P11" i="93" s="1"/>
  <c r="J11" i="93" s="1"/>
  <c r="Q11" i="93"/>
  <c r="K11" i="93" s="1"/>
  <c r="U19" i="93"/>
  <c r="O19" i="93" s="1"/>
  <c r="I19" i="93" s="1"/>
  <c r="U21" i="93"/>
  <c r="O21" i="93" s="1"/>
  <c r="I21" i="93" s="1"/>
  <c r="V25" i="93"/>
  <c r="P25" i="93" s="1"/>
  <c r="J25" i="93" s="1"/>
  <c r="U27" i="93"/>
  <c r="O27" i="93" s="1"/>
  <c r="I27" i="93" s="1"/>
  <c r="U31" i="93"/>
  <c r="O31" i="93" s="1"/>
  <c r="I31" i="93" s="1"/>
  <c r="L29" i="93"/>
  <c r="F29" i="93" s="1"/>
  <c r="AC23" i="93"/>
  <c r="AC25" i="93"/>
  <c r="L27" i="93"/>
  <c r="F27" i="93" s="1"/>
  <c r="L31" i="93"/>
  <c r="F31" i="93" s="1"/>
  <c r="AD23" i="93"/>
  <c r="Q23" i="93" s="1"/>
  <c r="K23" i="93" s="1"/>
  <c r="P23" i="93"/>
  <c r="J23" i="93" s="1"/>
  <c r="AD30" i="93"/>
  <c r="Q30" i="93" s="1"/>
  <c r="K30" i="93" s="1"/>
  <c r="L19" i="93"/>
  <c r="F19" i="93" s="1"/>
  <c r="P19" i="93"/>
  <c r="J19" i="93" s="1"/>
  <c r="L20" i="93"/>
  <c r="F20" i="93" s="1"/>
  <c r="P20" i="93"/>
  <c r="J20" i="93" s="1"/>
  <c r="L21" i="93"/>
  <c r="F21" i="93" s="1"/>
  <c r="P21" i="93"/>
  <c r="J21" i="93" s="1"/>
  <c r="L22" i="93"/>
  <c r="F22" i="93" s="1"/>
  <c r="P22" i="93"/>
  <c r="J22" i="93" s="1"/>
  <c r="L23" i="93"/>
  <c r="F23" i="93" s="1"/>
  <c r="U23" i="93"/>
  <c r="O23" i="93" s="1"/>
  <c r="I23" i="93" s="1"/>
  <c r="L24" i="93"/>
  <c r="F24" i="93" s="1"/>
  <c r="P24" i="93"/>
  <c r="J24" i="93" s="1"/>
  <c r="L25" i="93"/>
  <c r="F25" i="93" s="1"/>
  <c r="L26" i="93"/>
  <c r="F26" i="93" s="1"/>
  <c r="P26" i="93"/>
  <c r="J26" i="93" s="1"/>
  <c r="P27" i="93"/>
  <c r="J27" i="93" s="1"/>
  <c r="P28" i="93"/>
  <c r="J28" i="93" s="1"/>
  <c r="P29" i="93"/>
  <c r="J29" i="93" s="1"/>
  <c r="P30" i="93"/>
  <c r="J30" i="93" s="1"/>
  <c r="P31" i="93"/>
  <c r="J31" i="93" s="1"/>
  <c r="Q12" i="93"/>
  <c r="K12" i="93" s="1"/>
  <c r="U10" i="93"/>
  <c r="O10" i="93" s="1"/>
  <c r="I10" i="93" s="1"/>
  <c r="U11" i="93"/>
  <c r="O11" i="93" s="1"/>
  <c r="I11" i="93" s="1"/>
  <c r="U12" i="93"/>
  <c r="O12" i="93" s="1"/>
  <c r="I12" i="93" s="1"/>
  <c r="M10" i="93"/>
  <c r="G10" i="93" s="1"/>
  <c r="M11" i="93"/>
  <c r="G11" i="93" s="1"/>
  <c r="M12" i="93"/>
  <c r="G12" i="93" s="1"/>
  <c r="L18" i="93"/>
  <c r="F18" i="93" s="1"/>
  <c r="U18" i="93"/>
  <c r="O18" i="93" s="1"/>
  <c r="I18" i="93" s="1"/>
  <c r="AB18" i="93"/>
  <c r="AC18" i="93" s="1"/>
  <c r="M18" i="93"/>
  <c r="G18" i="93" s="1"/>
  <c r="V18" i="93"/>
  <c r="S15" i="65"/>
  <c r="S14" i="65"/>
  <c r="S13" i="65"/>
  <c r="S12" i="65"/>
  <c r="S11" i="65"/>
  <c r="S10" i="65"/>
  <c r="S8" i="65"/>
  <c r="S7" i="65"/>
  <c r="S6" i="65"/>
  <c r="S5" i="65"/>
  <c r="S4" i="65"/>
  <c r="S3" i="65"/>
  <c r="Q15" i="65"/>
  <c r="R15" i="65" s="1"/>
  <c r="Q14" i="65"/>
  <c r="R14" i="65" s="1"/>
  <c r="T14" i="65" s="1"/>
  <c r="Q13" i="65"/>
  <c r="R13" i="65" s="1"/>
  <c r="T13" i="65" s="1"/>
  <c r="Q12" i="65"/>
  <c r="R12" i="65" s="1"/>
  <c r="T12" i="65" s="1"/>
  <c r="Q11" i="65"/>
  <c r="R11" i="65" s="1"/>
  <c r="Q10" i="65"/>
  <c r="Q8" i="65"/>
  <c r="R8" i="65" s="1"/>
  <c r="Q7" i="65"/>
  <c r="R7" i="65" s="1"/>
  <c r="T7" i="65" s="1"/>
  <c r="Q6" i="65"/>
  <c r="R6" i="65" s="1"/>
  <c r="Q5" i="65"/>
  <c r="R5" i="65" s="1"/>
  <c r="Q4" i="65"/>
  <c r="R4" i="65" s="1"/>
  <c r="T4" i="65" s="1"/>
  <c r="Q3" i="65"/>
  <c r="R3" i="65" s="1"/>
  <c r="T3" i="65" s="1"/>
  <c r="A4" i="93" l="1"/>
  <c r="I9" i="93"/>
  <c r="D4" i="93" s="1"/>
  <c r="J4" i="93"/>
  <c r="Q9" i="93"/>
  <c r="B4" i="93"/>
  <c r="P32" i="93"/>
  <c r="J32" i="93" s="1"/>
  <c r="H4" i="93"/>
  <c r="G4" i="93"/>
  <c r="AD25" i="93"/>
  <c r="Q25" i="93" s="1"/>
  <c r="K25" i="93" s="1"/>
  <c r="Q18" i="93"/>
  <c r="K18" i="93" s="1"/>
  <c r="P18" i="93"/>
  <c r="J18" i="93" s="1"/>
  <c r="T8" i="65"/>
  <c r="T10" i="65"/>
  <c r="T6" i="65"/>
  <c r="T15" i="65"/>
  <c r="T5" i="65"/>
  <c r="T11" i="65"/>
  <c r="K9" i="93" l="1"/>
  <c r="L4" i="93"/>
  <c r="Q16" i="101" s="1"/>
  <c r="K4" i="93"/>
  <c r="P16" i="101" s="1"/>
  <c r="E4" i="93"/>
  <c r="K15" i="65"/>
  <c r="E15" i="65" s="1"/>
  <c r="K14" i="65"/>
  <c r="K13" i="65"/>
  <c r="K12" i="65"/>
  <c r="K11" i="65"/>
  <c r="E11" i="65" s="1"/>
  <c r="K10" i="65"/>
  <c r="E10" i="65" s="1"/>
  <c r="K8" i="65"/>
  <c r="E8" i="65" s="1"/>
  <c r="K7" i="65"/>
  <c r="K6" i="65"/>
  <c r="E6" i="65" s="1"/>
  <c r="K5" i="65"/>
  <c r="E5" i="65" s="1"/>
  <c r="K4" i="65"/>
  <c r="K3" i="65"/>
  <c r="J15" i="65"/>
  <c r="D15" i="65" s="1"/>
  <c r="J14" i="65"/>
  <c r="D14" i="65" s="1"/>
  <c r="L12" i="101" s="1"/>
  <c r="J13" i="65"/>
  <c r="D13" i="65" s="1"/>
  <c r="D12" i="65"/>
  <c r="J11" i="65"/>
  <c r="D11" i="65" s="1"/>
  <c r="J10" i="65"/>
  <c r="D10" i="65" s="1"/>
  <c r="J8" i="65"/>
  <c r="D8" i="65" s="1"/>
  <c r="J7" i="65"/>
  <c r="D7" i="65" s="1"/>
  <c r="L4" i="101" s="1"/>
  <c r="J6" i="65"/>
  <c r="D6" i="65" s="1"/>
  <c r="J5" i="65"/>
  <c r="D5" i="65" s="1"/>
  <c r="J4" i="65"/>
  <c r="D4" i="65" s="1"/>
  <c r="J3" i="65"/>
  <c r="D3" i="65" s="1"/>
  <c r="D16" i="65" l="1"/>
  <c r="L11" i="101"/>
  <c r="L3" i="101"/>
  <c r="F4" i="93"/>
  <c r="E13" i="65"/>
  <c r="E14" i="65"/>
  <c r="M12" i="101" s="1"/>
  <c r="E3" i="65"/>
  <c r="E7" i="65"/>
  <c r="M4" i="101" s="1"/>
  <c r="E12" i="65"/>
  <c r="M11" i="101" s="1"/>
  <c r="D9" i="65"/>
  <c r="M5" i="65"/>
  <c r="G5" i="65" s="1"/>
  <c r="M4" i="65"/>
  <c r="G4" i="65" s="1"/>
  <c r="M10" i="65"/>
  <c r="G10" i="65" s="1"/>
  <c r="M12" i="65"/>
  <c r="G12" i="65" s="1"/>
  <c r="M7" i="65"/>
  <c r="G7" i="65" s="1"/>
  <c r="O4" i="101" s="1"/>
  <c r="M13" i="65"/>
  <c r="G13" i="65" s="1"/>
  <c r="G3" i="65"/>
  <c r="M8" i="65"/>
  <c r="G8" i="65" s="1"/>
  <c r="M14" i="65"/>
  <c r="G14" i="65" s="1"/>
  <c r="O12" i="101" s="1"/>
  <c r="M6" i="65"/>
  <c r="G6" i="65" s="1"/>
  <c r="M11" i="65"/>
  <c r="G11" i="65" s="1"/>
  <c r="M15" i="65"/>
  <c r="G15" i="65" s="1"/>
  <c r="E4" i="65"/>
  <c r="F46" i="108"/>
  <c r="F45" i="108"/>
  <c r="F44" i="108"/>
  <c r="F43" i="108"/>
  <c r="F42" i="108"/>
  <c r="F41" i="108"/>
  <c r="F40" i="108"/>
  <c r="F39" i="108"/>
  <c r="F38" i="108"/>
  <c r="F37" i="108"/>
  <c r="F36" i="108"/>
  <c r="F35" i="108"/>
  <c r="F34" i="108"/>
  <c r="F33" i="108"/>
  <c r="F32" i="108"/>
  <c r="F31" i="108"/>
  <c r="F30" i="108"/>
  <c r="F29" i="108"/>
  <c r="F28" i="108"/>
  <c r="F27" i="108"/>
  <c r="F39" i="106"/>
  <c r="G39" i="106" s="1"/>
  <c r="F40" i="106"/>
  <c r="G40" i="106" s="1"/>
  <c r="F41" i="106"/>
  <c r="G41" i="106" s="1"/>
  <c r="F42" i="106"/>
  <c r="G42" i="106" s="1"/>
  <c r="F43" i="106"/>
  <c r="G43" i="106" s="1"/>
  <c r="F44" i="106"/>
  <c r="G44" i="106" s="1"/>
  <c r="F45" i="106"/>
  <c r="G45" i="106" s="1"/>
  <c r="F46" i="106"/>
  <c r="G46" i="106"/>
  <c r="F47" i="106"/>
  <c r="G47" i="106" s="1"/>
  <c r="F48" i="106"/>
  <c r="G48" i="106" s="1"/>
  <c r="F49" i="106"/>
  <c r="G49" i="106" s="1"/>
  <c r="F50" i="106"/>
  <c r="G50" i="106" s="1"/>
  <c r="F51" i="106"/>
  <c r="G51" i="106" s="1"/>
  <c r="F52" i="106"/>
  <c r="G52" i="106" s="1"/>
  <c r="H13" i="101"/>
  <c r="G13" i="101"/>
  <c r="H12" i="101"/>
  <c r="G12" i="101"/>
  <c r="H11" i="101"/>
  <c r="G11" i="101"/>
  <c r="H10" i="101"/>
  <c r="G10" i="101"/>
  <c r="H9" i="101"/>
  <c r="G9" i="101"/>
  <c r="H4" i="101"/>
  <c r="G4" i="101"/>
  <c r="H3" i="101"/>
  <c r="G3" i="101"/>
  <c r="H31" i="101"/>
  <c r="G31" i="101"/>
  <c r="H30" i="101"/>
  <c r="G30" i="101"/>
  <c r="H29" i="101"/>
  <c r="G29" i="101"/>
  <c r="G34" i="101"/>
  <c r="H34" i="101"/>
  <c r="H28" i="101"/>
  <c r="G28" i="101"/>
  <c r="H21" i="101"/>
  <c r="G21" i="101"/>
  <c r="O3" i="101" l="1"/>
  <c r="O11" i="101"/>
  <c r="E16" i="65"/>
  <c r="M3" i="101"/>
  <c r="G30" i="108"/>
  <c r="G38" i="108"/>
  <c r="G28" i="108"/>
  <c r="G32" i="108"/>
  <c r="G36" i="108"/>
  <c r="G40" i="108"/>
  <c r="G44" i="108"/>
  <c r="G46" i="108"/>
  <c r="G29" i="108"/>
  <c r="G33" i="108"/>
  <c r="G37" i="108"/>
  <c r="G41" i="108"/>
  <c r="G45" i="108"/>
  <c r="G34" i="108"/>
  <c r="G42" i="108"/>
  <c r="G27" i="108"/>
  <c r="G31" i="108"/>
  <c r="G35" i="108"/>
  <c r="G39" i="108"/>
  <c r="G43" i="108"/>
  <c r="E9" i="65"/>
  <c r="G9" i="65"/>
  <c r="G16" i="65"/>
  <c r="J22" i="108"/>
  <c r="K22" i="108" s="1"/>
  <c r="J21" i="108"/>
  <c r="K21" i="108" s="1"/>
  <c r="J20" i="108"/>
  <c r="K20" i="108" s="1"/>
  <c r="J19" i="108"/>
  <c r="K19" i="108" s="1"/>
  <c r="J18" i="108"/>
  <c r="K18" i="108" s="1"/>
  <c r="J17" i="108"/>
  <c r="J16" i="108"/>
  <c r="K16" i="108" s="1"/>
  <c r="J15" i="108"/>
  <c r="K15" i="108" s="1"/>
  <c r="J14" i="108"/>
  <c r="J13" i="108"/>
  <c r="K13" i="108" s="1"/>
  <c r="J12" i="108"/>
  <c r="K12" i="108" s="1"/>
  <c r="J11" i="108"/>
  <c r="F49" i="105"/>
  <c r="G49" i="105" s="1"/>
  <c r="F48" i="105"/>
  <c r="G48" i="105" s="1"/>
  <c r="F47" i="105"/>
  <c r="G47" i="105" s="1"/>
  <c r="F46" i="105"/>
  <c r="G46" i="105" s="1"/>
  <c r="H34" i="102"/>
  <c r="G35" i="102"/>
  <c r="H35" i="102" s="1"/>
  <c r="G36" i="102"/>
  <c r="H36" i="102" s="1"/>
  <c r="G37" i="102"/>
  <c r="H37" i="102" s="1"/>
  <c r="G38" i="102"/>
  <c r="H38" i="102" s="1"/>
  <c r="G39" i="102"/>
  <c r="H39" i="102" s="1"/>
  <c r="G40" i="102"/>
  <c r="H40" i="102" s="1"/>
  <c r="G41" i="102"/>
  <c r="H41" i="102" s="1"/>
  <c r="G42" i="102"/>
  <c r="H42" i="102" s="1"/>
  <c r="G43" i="102"/>
  <c r="H43" i="102" s="1"/>
  <c r="G44" i="102"/>
  <c r="H44" i="102" s="1"/>
  <c r="G45" i="102"/>
  <c r="H45" i="102" s="1"/>
  <c r="G46" i="102"/>
  <c r="H46" i="102" s="1"/>
  <c r="G47" i="102"/>
  <c r="H47" i="102" s="1"/>
  <c r="G48" i="102"/>
  <c r="H48" i="102" s="1"/>
  <c r="G49" i="102"/>
  <c r="H49" i="102" s="1"/>
  <c r="G50" i="102"/>
  <c r="H50" i="102" s="1"/>
  <c r="G51" i="102"/>
  <c r="H51" i="102" s="1"/>
  <c r="G52" i="102"/>
  <c r="H52" i="102" s="1"/>
  <c r="G53" i="102"/>
  <c r="H53" i="102" s="1"/>
  <c r="G54" i="102"/>
  <c r="H54" i="102" s="1"/>
  <c r="G55" i="102"/>
  <c r="H55" i="102" s="1"/>
  <c r="G56" i="102"/>
  <c r="H56" i="102" s="1"/>
  <c r="G57" i="102"/>
  <c r="H57" i="102" s="1"/>
  <c r="G58" i="102"/>
  <c r="H58" i="102" s="1"/>
  <c r="G59" i="102"/>
  <c r="H59" i="102" s="1"/>
  <c r="G60" i="102"/>
  <c r="H60" i="102" s="1"/>
  <c r="G61" i="102"/>
  <c r="H61" i="102" s="1"/>
  <c r="G62" i="102"/>
  <c r="H62" i="102" s="1"/>
  <c r="G63" i="102"/>
  <c r="H63" i="102" s="1"/>
  <c r="G34" i="102"/>
  <c r="G33" i="102"/>
  <c r="H33" i="102" s="1"/>
  <c r="K17" i="108" l="1"/>
  <c r="K14" i="108"/>
  <c r="K11" i="108"/>
  <c r="J45" i="108"/>
  <c r="R45" i="108"/>
  <c r="AA45" i="108" s="1"/>
  <c r="J29" i="108"/>
  <c r="R29" i="108"/>
  <c r="AA29" i="108" s="1"/>
  <c r="J36" i="108"/>
  <c r="R36" i="108"/>
  <c r="AA36" i="108" s="1"/>
  <c r="J43" i="108"/>
  <c r="R43" i="108"/>
  <c r="AA43" i="108" s="1"/>
  <c r="J35" i="108"/>
  <c r="R35" i="108"/>
  <c r="AA35" i="108" s="1"/>
  <c r="J27" i="108"/>
  <c r="AA27" i="108"/>
  <c r="J34" i="108"/>
  <c r="J4" i="108" s="1"/>
  <c r="R34" i="108"/>
  <c r="AA34" i="108" s="1"/>
  <c r="J41" i="108"/>
  <c r="R41" i="108"/>
  <c r="AA41" i="108" s="1"/>
  <c r="J33" i="108"/>
  <c r="R33" i="108"/>
  <c r="AA33" i="108" s="1"/>
  <c r="R46" i="108"/>
  <c r="AA46" i="108" s="1"/>
  <c r="J46" i="108"/>
  <c r="J40" i="108"/>
  <c r="R40" i="108"/>
  <c r="AA40" i="108" s="1"/>
  <c r="R32" i="108"/>
  <c r="AA32" i="108" s="1"/>
  <c r="J32" i="108"/>
  <c r="J38" i="108"/>
  <c r="R38" i="108"/>
  <c r="AA38" i="108" s="1"/>
  <c r="J39" i="108"/>
  <c r="R39" i="108"/>
  <c r="AA39" i="108" s="1"/>
  <c r="J28" i="108"/>
  <c r="R28" i="108"/>
  <c r="AA28" i="108" s="1"/>
  <c r="J31" i="108"/>
  <c r="R31" i="108"/>
  <c r="AA31" i="108" s="1"/>
  <c r="R42" i="108"/>
  <c r="AA42" i="108" s="1"/>
  <c r="J42" i="108"/>
  <c r="J37" i="108"/>
  <c r="R37" i="108"/>
  <c r="AA37" i="108" s="1"/>
  <c r="J44" i="108"/>
  <c r="R44" i="108"/>
  <c r="AA44" i="108" s="1"/>
  <c r="R30" i="108"/>
  <c r="AA30" i="108" s="1"/>
  <c r="J30" i="108"/>
  <c r="F13" i="106"/>
  <c r="F14" i="106"/>
  <c r="G14" i="106" s="1"/>
  <c r="F15" i="106"/>
  <c r="G15" i="106" s="1"/>
  <c r="F16" i="106"/>
  <c r="G16" i="106" s="1"/>
  <c r="F17" i="106"/>
  <c r="G17" i="106" s="1"/>
  <c r="F18" i="106"/>
  <c r="G18" i="106" s="1"/>
  <c r="F19" i="106"/>
  <c r="G19" i="106" s="1"/>
  <c r="F20" i="106"/>
  <c r="G20" i="106" s="1"/>
  <c r="F21" i="106"/>
  <c r="G21" i="106" s="1"/>
  <c r="F22" i="106"/>
  <c r="G22" i="106" s="1"/>
  <c r="F23" i="106"/>
  <c r="G23" i="106" s="1"/>
  <c r="F24" i="106"/>
  <c r="G24" i="106" s="1"/>
  <c r="F25" i="106"/>
  <c r="G25" i="106" s="1"/>
  <c r="F26" i="106"/>
  <c r="G26" i="106" s="1"/>
  <c r="F27" i="106"/>
  <c r="G27" i="106" s="1"/>
  <c r="F28" i="106"/>
  <c r="G28" i="106" s="1"/>
  <c r="F29" i="106"/>
  <c r="G29" i="106" s="1"/>
  <c r="F30" i="106"/>
  <c r="G30" i="106" s="1"/>
  <c r="F31" i="106"/>
  <c r="G31" i="106" s="1"/>
  <c r="F32" i="106"/>
  <c r="G32" i="106" s="1"/>
  <c r="F33" i="106"/>
  <c r="G33" i="106" s="1"/>
  <c r="F34" i="106"/>
  <c r="G34" i="106" s="1"/>
  <c r="J2" i="108" l="1"/>
  <c r="J3" i="108"/>
  <c r="G13" i="106"/>
  <c r="L31" i="108"/>
  <c r="N31" i="108"/>
  <c r="L41" i="108"/>
  <c r="N41" i="108"/>
  <c r="L43" i="108"/>
  <c r="N43" i="108"/>
  <c r="L29" i="108"/>
  <c r="N29" i="108"/>
  <c r="L30" i="108"/>
  <c r="L32" i="108"/>
  <c r="N32" i="108"/>
  <c r="L46" i="108"/>
  <c r="N46" i="108"/>
  <c r="L44" i="108"/>
  <c r="N44" i="108"/>
  <c r="L28" i="108"/>
  <c r="N28" i="108"/>
  <c r="L38" i="108"/>
  <c r="N38" i="108"/>
  <c r="L40" i="108"/>
  <c r="L33" i="108"/>
  <c r="N33" i="108"/>
  <c r="L34" i="108"/>
  <c r="N34" i="108"/>
  <c r="L35" i="108"/>
  <c r="N35" i="108"/>
  <c r="L36" i="108"/>
  <c r="L45" i="108"/>
  <c r="L37" i="108"/>
  <c r="N37" i="108"/>
  <c r="L39" i="108"/>
  <c r="N39" i="108"/>
  <c r="L42" i="108"/>
  <c r="N42" i="108"/>
  <c r="N40" i="108"/>
  <c r="N36" i="108"/>
  <c r="N45" i="108"/>
  <c r="L27" i="108"/>
  <c r="M20" i="101"/>
  <c r="M19" i="101"/>
  <c r="M18" i="101"/>
  <c r="M21" i="101"/>
  <c r="M17" i="101"/>
  <c r="G12" i="106"/>
  <c r="F11" i="105"/>
  <c r="G11" i="105" s="1"/>
  <c r="F12" i="105"/>
  <c r="G12" i="105" s="1"/>
  <c r="F13" i="105"/>
  <c r="G13" i="105" s="1"/>
  <c r="F14" i="105"/>
  <c r="G14" i="105" s="1"/>
  <c r="F15" i="105"/>
  <c r="G15" i="105" s="1"/>
  <c r="F16" i="105"/>
  <c r="G16" i="105" s="1"/>
  <c r="F17" i="105"/>
  <c r="G17" i="105" s="1"/>
  <c r="F18" i="105"/>
  <c r="G18" i="105" s="1"/>
  <c r="F19" i="105"/>
  <c r="G19" i="105" s="1"/>
  <c r="F20" i="105"/>
  <c r="G20" i="105" s="1"/>
  <c r="F21" i="105"/>
  <c r="G21" i="105" s="1"/>
  <c r="F22" i="105"/>
  <c r="G22" i="105" s="1"/>
  <c r="F23" i="105"/>
  <c r="G23" i="105" s="1"/>
  <c r="F24" i="105"/>
  <c r="G24" i="105" s="1"/>
  <c r="F25" i="105"/>
  <c r="G25" i="105" s="1"/>
  <c r="F26" i="105"/>
  <c r="G26" i="105" s="1"/>
  <c r="F27" i="105"/>
  <c r="G27" i="105" s="1"/>
  <c r="F28" i="105"/>
  <c r="G28" i="105" s="1"/>
  <c r="F29" i="105"/>
  <c r="G29" i="105" s="1"/>
  <c r="F30" i="105"/>
  <c r="G30" i="105" s="1"/>
  <c r="F31" i="105"/>
  <c r="G31" i="105" s="1"/>
  <c r="F32" i="105"/>
  <c r="G32" i="105" s="1"/>
  <c r="F33" i="105"/>
  <c r="G33" i="105" s="1"/>
  <c r="F34" i="105"/>
  <c r="G34" i="105" s="1"/>
  <c r="F35" i="105"/>
  <c r="G35" i="105" s="1"/>
  <c r="F36" i="105"/>
  <c r="G36" i="105" s="1"/>
  <c r="F37" i="105"/>
  <c r="G37" i="105" s="1"/>
  <c r="F38" i="105"/>
  <c r="G38" i="105" s="1"/>
  <c r="F39" i="105"/>
  <c r="G39" i="105" s="1"/>
  <c r="F40" i="105"/>
  <c r="G40" i="105" s="1"/>
  <c r="N4" i="108" l="1"/>
  <c r="L4" i="108"/>
  <c r="L3" i="108"/>
  <c r="L2" i="108"/>
  <c r="O17" i="101"/>
  <c r="O20" i="101"/>
  <c r="N27" i="108"/>
  <c r="N2" i="108" s="1"/>
  <c r="O18" i="101"/>
  <c r="O21" i="101"/>
  <c r="N30" i="108"/>
  <c r="O19" i="101"/>
  <c r="F10" i="105"/>
  <c r="G10" i="105" s="1"/>
  <c r="F9" i="105"/>
  <c r="G9" i="105" s="1"/>
  <c r="F8" i="105"/>
  <c r="G8" i="105" s="1"/>
  <c r="Q20" i="101" l="1"/>
  <c r="N3" i="108"/>
  <c r="Q17" i="101"/>
  <c r="Q21" i="101"/>
  <c r="Q18" i="101"/>
  <c r="Q19" i="101"/>
  <c r="F8" i="104"/>
  <c r="G8" i="104" s="1"/>
  <c r="F7" i="104"/>
  <c r="G7" i="104" s="1"/>
  <c r="F6" i="104"/>
  <c r="F16" i="104"/>
  <c r="G16" i="104" s="1"/>
  <c r="F17" i="104"/>
  <c r="G17" i="104" s="1"/>
  <c r="F18" i="104"/>
  <c r="G18" i="104" s="1"/>
  <c r="F19" i="104"/>
  <c r="G19" i="104" s="1"/>
  <c r="G6" i="104" l="1"/>
  <c r="G27" i="102" l="1"/>
  <c r="H27" i="102" s="1"/>
  <c r="G26" i="102"/>
  <c r="H26" i="102" s="1"/>
  <c r="G20" i="102"/>
  <c r="H20" i="102" s="1"/>
  <c r="G19" i="102"/>
  <c r="H19" i="102" s="1"/>
  <c r="G18" i="102"/>
  <c r="H18" i="102" s="1"/>
  <c r="G17" i="102"/>
  <c r="H17" i="102" s="1"/>
  <c r="G16" i="102"/>
  <c r="H16" i="102" s="1"/>
  <c r="G15" i="102"/>
  <c r="H15" i="102" s="1"/>
  <c r="G14" i="102"/>
  <c r="H14" i="102" s="1"/>
  <c r="D6" i="15" l="1"/>
  <c r="D5" i="15"/>
  <c r="D4" i="15"/>
  <c r="N14" i="65" l="1"/>
  <c r="N7" i="65"/>
  <c r="F3" i="65"/>
  <c r="J42" i="90"/>
  <c r="I42" i="90"/>
  <c r="H42" i="90"/>
  <c r="G42" i="90"/>
  <c r="K41" i="90"/>
  <c r="J41" i="90"/>
  <c r="K40" i="90"/>
  <c r="J40" i="90"/>
  <c r="K39" i="90"/>
  <c r="J39" i="90"/>
  <c r="K38" i="90"/>
  <c r="J38" i="90"/>
  <c r="K37" i="90"/>
  <c r="J37" i="90"/>
  <c r="K36" i="90"/>
  <c r="J36" i="90"/>
  <c r="K35" i="90"/>
  <c r="J35" i="90"/>
  <c r="K34" i="90"/>
  <c r="J34" i="90"/>
  <c r="K33" i="90"/>
  <c r="J33" i="90"/>
  <c r="K32" i="90"/>
  <c r="J32" i="90"/>
  <c r="K31" i="90"/>
  <c r="J31" i="90"/>
  <c r="K30" i="90"/>
  <c r="J30" i="90"/>
  <c r="K29" i="90"/>
  <c r="J29" i="90"/>
  <c r="K28" i="90"/>
  <c r="J28" i="90"/>
  <c r="K27" i="90"/>
  <c r="K42" i="90" s="1"/>
  <c r="J27" i="90"/>
  <c r="K26" i="90"/>
  <c r="J26" i="90"/>
  <c r="K20" i="90"/>
  <c r="I20" i="90"/>
  <c r="H20" i="90"/>
  <c r="G20" i="90"/>
  <c r="K19" i="90"/>
  <c r="J19" i="90"/>
  <c r="K18" i="90"/>
  <c r="J18" i="90"/>
  <c r="K17" i="90"/>
  <c r="J17" i="90"/>
  <c r="K16" i="90"/>
  <c r="J16" i="90"/>
  <c r="N15" i="90"/>
  <c r="B9" i="90" s="1"/>
  <c r="K15" i="90"/>
  <c r="J15" i="90"/>
  <c r="N14" i="90"/>
  <c r="K14" i="90"/>
  <c r="J14" i="90"/>
  <c r="K13" i="90"/>
  <c r="J13" i="90"/>
  <c r="K12" i="90"/>
  <c r="J12" i="90"/>
  <c r="K11" i="90"/>
  <c r="J11" i="90"/>
  <c r="K10" i="90"/>
  <c r="J10" i="90"/>
  <c r="K9" i="90"/>
  <c r="J9" i="90"/>
  <c r="K8" i="90"/>
  <c r="J8" i="90"/>
  <c r="K7" i="90"/>
  <c r="J7" i="90"/>
  <c r="K6" i="90"/>
  <c r="J6" i="90"/>
  <c r="K5" i="90"/>
  <c r="J5" i="90"/>
  <c r="K4" i="90"/>
  <c r="J4" i="90"/>
  <c r="J20" i="90" s="1"/>
  <c r="D8" i="15"/>
  <c r="L36" i="48" s="1"/>
  <c r="D7" i="15"/>
  <c r="D3" i="15"/>
  <c r="J6" i="2"/>
  <c r="J5" i="2"/>
  <c r="H7" i="65" l="1"/>
  <c r="P4" i="101" s="1"/>
  <c r="I7" i="65"/>
  <c r="Q4" i="101" s="1"/>
  <c r="H14" i="65"/>
  <c r="P12" i="101" s="1"/>
  <c r="I14" i="65"/>
  <c r="Q12" i="101" s="1"/>
  <c r="F12" i="65"/>
  <c r="N12" i="65"/>
  <c r="F8" i="65"/>
  <c r="N8" i="65"/>
  <c r="F13" i="65"/>
  <c r="N13" i="65"/>
  <c r="F6" i="65"/>
  <c r="N6" i="65"/>
  <c r="F11" i="65"/>
  <c r="N11" i="65"/>
  <c r="F15" i="65"/>
  <c r="N15" i="65"/>
  <c r="F4" i="65"/>
  <c r="N4" i="65"/>
  <c r="F5" i="65"/>
  <c r="N5" i="65"/>
  <c r="F10" i="65"/>
  <c r="F7" i="65"/>
  <c r="N4" i="101" s="1"/>
  <c r="F14" i="65"/>
  <c r="N12" i="101" s="1"/>
  <c r="B10" i="90"/>
  <c r="B4" i="90"/>
  <c r="B5" i="90" s="1"/>
  <c r="L20" i="48"/>
  <c r="L68" i="48"/>
  <c r="L24" i="48"/>
  <c r="L84" i="48"/>
  <c r="L4" i="48"/>
  <c r="L83" i="48"/>
  <c r="L79" i="48"/>
  <c r="L75" i="48"/>
  <c r="L71" i="48"/>
  <c r="L67" i="48"/>
  <c r="L63" i="48"/>
  <c r="L59" i="48"/>
  <c r="L55" i="48"/>
  <c r="L51" i="48"/>
  <c r="L47" i="48"/>
  <c r="L43" i="48"/>
  <c r="L39" i="48"/>
  <c r="L35" i="48"/>
  <c r="L31" i="48"/>
  <c r="L27" i="48"/>
  <c r="L23" i="48"/>
  <c r="L19" i="48"/>
  <c r="L15" i="48"/>
  <c r="L11" i="48"/>
  <c r="L7" i="48"/>
  <c r="L3" i="48"/>
  <c r="L82" i="48"/>
  <c r="L78" i="48"/>
  <c r="L74" i="48"/>
  <c r="L70" i="48"/>
  <c r="L66" i="48"/>
  <c r="L62" i="48"/>
  <c r="L58" i="48"/>
  <c r="L54" i="48"/>
  <c r="L50" i="48"/>
  <c r="L46" i="48"/>
  <c r="L42" i="48"/>
  <c r="L38" i="48"/>
  <c r="L34" i="48"/>
  <c r="L30" i="48"/>
  <c r="L26" i="48"/>
  <c r="L22" i="48"/>
  <c r="L18" i="48"/>
  <c r="L14" i="48"/>
  <c r="L10" i="48"/>
  <c r="L6" i="48"/>
  <c r="L2" i="48"/>
  <c r="L85" i="48"/>
  <c r="L81" i="48"/>
  <c r="L77" i="48"/>
  <c r="L73" i="48"/>
  <c r="L69" i="48"/>
  <c r="L65" i="48"/>
  <c r="L61" i="48"/>
  <c r="L57" i="48"/>
  <c r="L53" i="48"/>
  <c r="L49" i="48"/>
  <c r="L45" i="48"/>
  <c r="L41" i="48"/>
  <c r="L37" i="48"/>
  <c r="L33" i="48"/>
  <c r="L29" i="48"/>
  <c r="L25" i="48"/>
  <c r="L21" i="48"/>
  <c r="L17" i="48"/>
  <c r="L13" i="48"/>
  <c r="L9" i="48"/>
  <c r="L5" i="48"/>
  <c r="L80" i="48"/>
  <c r="L64" i="48"/>
  <c r="L48" i="48"/>
  <c r="L32" i="48"/>
  <c r="L16" i="48"/>
  <c r="L72" i="48"/>
  <c r="L56" i="48"/>
  <c r="L76" i="48"/>
  <c r="L60" i="48"/>
  <c r="L44" i="48"/>
  <c r="L28" i="48"/>
  <c r="L12" i="48"/>
  <c r="L40" i="48"/>
  <c r="L8" i="48"/>
  <c r="L52" i="48"/>
  <c r="N3" i="101" l="1"/>
  <c r="H3" i="65"/>
  <c r="I3" i="65"/>
  <c r="Q3" i="101" s="1"/>
  <c r="N11" i="101"/>
  <c r="F16" i="65"/>
  <c r="F9" i="65"/>
  <c r="H15" i="65"/>
  <c r="I15" i="65"/>
  <c r="H6" i="65"/>
  <c r="I6" i="65"/>
  <c r="H10" i="65"/>
  <c r="P11" i="101" s="1"/>
  <c r="I10" i="65"/>
  <c r="H4" i="65"/>
  <c r="I4" i="65"/>
  <c r="H11" i="65"/>
  <c r="I11" i="65"/>
  <c r="H13" i="65"/>
  <c r="I13" i="65"/>
  <c r="H12" i="65"/>
  <c r="I12" i="65"/>
  <c r="H5" i="65"/>
  <c r="I5" i="65"/>
  <c r="H8" i="65"/>
  <c r="I8" i="65"/>
  <c r="P3" i="101" l="1"/>
  <c r="Q11" i="101"/>
  <c r="H16" i="65"/>
  <c r="I16" i="65"/>
  <c r="H9" i="65"/>
  <c r="I9" i="65"/>
  <c r="H20" i="101" l="1"/>
  <c r="G20" i="101"/>
  <c r="H19" i="101"/>
  <c r="G19" i="101"/>
  <c r="H18" i="101"/>
  <c r="G18" i="101"/>
  <c r="H17" i="101"/>
  <c r="G17" i="101"/>
  <c r="G24" i="101"/>
  <c r="H24" i="101"/>
  <c r="G25" i="101"/>
  <c r="H25" i="101"/>
  <c r="G26" i="101"/>
  <c r="H26" i="101"/>
  <c r="G27" i="101"/>
  <c r="H27" i="101"/>
  <c r="G32" i="101"/>
  <c r="H32" i="101"/>
  <c r="G33" i="101"/>
  <c r="H33" i="101"/>
  <c r="H23" i="101"/>
  <c r="G23" i="101"/>
</calcChain>
</file>

<file path=xl/comments1.xml><?xml version="1.0" encoding="utf-8"?>
<comments xmlns="http://schemas.openxmlformats.org/spreadsheetml/2006/main">
  <authors>
    <author>Loper, Joe</author>
  </authors>
  <commentList>
    <comment ref="B1" authorId="0" shapeId="0">
      <text>
        <r>
          <rPr>
            <b/>
            <sz val="14"/>
            <color indexed="81"/>
            <rFont val="Tahoma"/>
            <family val="2"/>
          </rPr>
          <t>Loper, Joe:</t>
        </r>
        <r>
          <rPr>
            <sz val="14"/>
            <color indexed="81"/>
            <rFont val="Tahoma"/>
            <family val="2"/>
          </rPr>
          <t xml:space="preserve">
According to BGE website, T8 and T5 lamps still get $2 discount at retail stores.  Only LED measures are included here.
.  </t>
        </r>
      </text>
    </comment>
  </commentList>
</comments>
</file>

<file path=xl/comments2.xml><?xml version="1.0" encoding="utf-8"?>
<comments xmlns="http://schemas.openxmlformats.org/spreadsheetml/2006/main">
  <authors>
    <author>Barquest, Ethan</author>
  </authors>
  <commentList>
    <comment ref="I29" authorId="0" shapeId="0">
      <text>
        <r>
          <rPr>
            <b/>
            <sz val="9"/>
            <color indexed="81"/>
            <rFont val="Tahoma"/>
            <family val="2"/>
          </rPr>
          <t>Barquest, Ethan:</t>
        </r>
        <r>
          <rPr>
            <sz val="9"/>
            <color indexed="81"/>
            <rFont val="Tahoma"/>
            <family val="2"/>
          </rPr>
          <t xml:space="preserve">
Should LT021 be inluded also? It is in the excel formulas to the lerft.
</t>
        </r>
      </text>
    </comment>
  </commentList>
</comments>
</file>

<file path=xl/comments3.xml><?xml version="1.0" encoding="utf-8"?>
<comments xmlns="http://schemas.openxmlformats.org/spreadsheetml/2006/main">
  <authors>
    <author>Cheah, Ben</author>
  </authors>
  <commentList>
    <comment ref="I13" authorId="0" shapeId="0">
      <text>
        <r>
          <rPr>
            <b/>
            <sz val="9"/>
            <color indexed="81"/>
            <rFont val="Tahoma"/>
            <family val="2"/>
          </rPr>
          <t>Cheah, Ben:</t>
        </r>
        <r>
          <rPr>
            <sz val="9"/>
            <color indexed="81"/>
            <rFont val="Tahoma"/>
            <family val="2"/>
          </rPr>
          <t xml:space="preserve">
Labor value is sourced from LED Globes below:
PGECOLTG164</t>
        </r>
      </text>
    </comment>
  </commentList>
</comments>
</file>

<file path=xl/comments4.xml><?xml version="1.0" encoding="utf-8"?>
<comments xmlns="http://schemas.openxmlformats.org/spreadsheetml/2006/main">
  <authors>
    <author>Tom Eckman</author>
    <author>Mike Baker</author>
  </authors>
  <commentList>
    <comment ref="D1" authorId="0" shapeId="0">
      <text>
        <r>
          <rPr>
            <b/>
            <sz val="8"/>
            <color indexed="81"/>
            <rFont val="Tahoma"/>
            <family val="2"/>
          </rPr>
          <t>Tom Eckman:</t>
        </r>
        <r>
          <rPr>
            <sz val="8"/>
            <color indexed="81"/>
            <rFont val="Tahoma"/>
            <family val="2"/>
          </rPr>
          <t xml:space="preserve">
Name used for measure in ProCost model. Name may be different (usually parsed) in PTR system data base. </t>
        </r>
      </text>
    </comment>
    <comment ref="E1" authorId="0" shapeId="0">
      <text>
        <r>
          <rPr>
            <b/>
            <sz val="8"/>
            <color indexed="81"/>
            <rFont val="Tahoma"/>
            <family val="2"/>
          </rPr>
          <t xml:space="preserve">Tom Eckman:  </t>
        </r>
        <r>
          <rPr>
            <sz val="8"/>
            <color indexed="81"/>
            <rFont val="Tahoma"/>
            <family val="2"/>
          </rPr>
          <t>Measure name used in online data base</t>
        </r>
      </text>
    </comment>
    <comment ref="F1" authorId="0" shapeId="0">
      <text>
        <r>
          <rPr>
            <b/>
            <sz val="8"/>
            <color indexed="81"/>
            <rFont val="Tahoma"/>
            <family val="2"/>
          </rPr>
          <t>Tom Eckman:</t>
        </r>
        <r>
          <rPr>
            <sz val="8"/>
            <color indexed="81"/>
            <rFont val="Tahoma"/>
            <family val="2"/>
          </rPr>
          <t xml:space="preserve">
Tracking unit (e.g. per sq. ft., per appliance, per home, per heat pump)</t>
        </r>
      </text>
    </comment>
    <comment ref="G1" authorId="0" shapeId="0">
      <text>
        <r>
          <rPr>
            <b/>
            <sz val="8"/>
            <color indexed="81"/>
            <rFont val="Tahoma"/>
            <family val="2"/>
          </rPr>
          <t>Tom Eckman:</t>
        </r>
        <r>
          <rPr>
            <sz val="8"/>
            <color indexed="81"/>
            <rFont val="Tahoma"/>
            <family val="2"/>
          </rPr>
          <t xml:space="preserve">
Description of building type in which measure is applicable</t>
        </r>
      </text>
    </comment>
    <comment ref="H1" authorId="0" shapeId="0">
      <text>
        <r>
          <rPr>
            <b/>
            <sz val="8"/>
            <color indexed="81"/>
            <rFont val="Tahoma"/>
            <family val="2"/>
          </rPr>
          <t>Tom Eckman:</t>
        </r>
        <r>
          <rPr>
            <sz val="8"/>
            <color indexed="81"/>
            <rFont val="Tahoma"/>
            <family val="2"/>
          </rPr>
          <t xml:space="preserve">
First attribute of measure used as filter in online data base</t>
        </r>
      </text>
    </comment>
    <comment ref="I1" authorId="0" shapeId="0">
      <text>
        <r>
          <rPr>
            <b/>
            <sz val="8"/>
            <color indexed="81"/>
            <rFont val="Tahoma"/>
            <family val="2"/>
          </rPr>
          <t>Tom Eckman:</t>
        </r>
        <r>
          <rPr>
            <sz val="8"/>
            <color indexed="81"/>
            <rFont val="Tahoma"/>
            <family val="2"/>
          </rPr>
          <t xml:space="preserve">
Second attribute of measure used as filter in online data base</t>
        </r>
      </text>
    </comment>
    <comment ref="J1" authorId="0" shapeId="0">
      <text>
        <r>
          <rPr>
            <b/>
            <sz val="8"/>
            <color indexed="81"/>
            <rFont val="Tahoma"/>
            <family val="2"/>
          </rPr>
          <t>Tom Eckman:</t>
        </r>
        <r>
          <rPr>
            <sz val="8"/>
            <color indexed="81"/>
            <rFont val="Tahoma"/>
            <family val="2"/>
          </rPr>
          <t xml:space="preserve">
Description of mechanism by which measure is delivered. Specifies conditions under which measure savings can be claimed "deemed," including program technical specification.</t>
        </r>
      </text>
    </comment>
    <comment ref="K1" authorId="0" shapeId="0">
      <text>
        <r>
          <rPr>
            <b/>
            <sz val="8"/>
            <color indexed="81"/>
            <rFont val="Tahoma"/>
            <family val="2"/>
          </rPr>
          <t>Tom Eckman:</t>
        </r>
        <r>
          <rPr>
            <sz val="8"/>
            <color indexed="81"/>
            <rFont val="Tahoma"/>
            <family val="2"/>
          </rPr>
          <t xml:space="preserve">
Difference in first cost between baseline efficiency and energy efficient measure, regardless of who pays those cost. Does not include marketing or administrative cost.</t>
        </r>
      </text>
    </comment>
    <comment ref="O2" authorId="1" shapeId="0">
      <text>
        <r>
          <rPr>
            <sz val="9"/>
            <color indexed="81"/>
            <rFont val="Tahoma"/>
            <family val="2"/>
          </rPr>
          <t>Costs may vary across applications of the measure defined by the measure identifiers (shown above), e.g., housing type.  If so, use this column to list the identifiers associated with each Analysis Approach.  At least one CostDataAnalysis sheet must be included that shows the derivation of each unique cost (capital and O&amp;M) value, consistent with the analysis approach(es).</t>
        </r>
      </text>
    </comment>
    <comment ref="V2" authorId="1" shapeId="0">
      <text>
        <r>
          <rPr>
            <sz val="9"/>
            <color indexed="81"/>
            <rFont val="Tahoma"/>
            <family val="2"/>
          </rPr>
          <t>Analyst's best judgment about the level of uncertainty for each cost/benefit by measure identifier.  Can be expressed as +/- % or as high, medium, low.</t>
        </r>
      </text>
    </comment>
    <comment ref="P3" authorId="1" shapeId="0">
      <text>
        <r>
          <rPr>
            <sz val="9"/>
            <color indexed="81"/>
            <rFont val="Tahoma"/>
            <family val="2"/>
          </rPr>
          <t xml:space="preserve">Added to the ProCost input "Capital Cost"
</t>
        </r>
      </text>
    </comment>
  </commentList>
</comments>
</file>

<file path=xl/comments5.xml><?xml version="1.0" encoding="utf-8"?>
<comments xmlns="http://schemas.openxmlformats.org/spreadsheetml/2006/main">
  <authors>
    <author>Loper, Joe</author>
    <author>Barquest, Ethan</author>
  </authors>
  <commentList>
    <comment ref="B4" authorId="0" shapeId="0">
      <text>
        <r>
          <rPr>
            <b/>
            <sz val="9"/>
            <color indexed="81"/>
            <rFont val="Tahoma"/>
            <family val="2"/>
          </rPr>
          <t>Loper, Joe:</t>
        </r>
        <r>
          <rPr>
            <sz val="9"/>
            <color indexed="81"/>
            <rFont val="Tahoma"/>
            <family val="2"/>
          </rPr>
          <t xml:space="preserve">
Ethan -- Navigant numbers from report is below.  Why are these numbers different?</t>
        </r>
      </text>
    </comment>
    <comment ref="B5" authorId="1" shapeId="0">
      <text>
        <r>
          <rPr>
            <b/>
            <sz val="9"/>
            <color indexed="81"/>
            <rFont val="Tahoma"/>
            <family val="2"/>
          </rPr>
          <t>Barquest, Ethan:</t>
        </r>
        <r>
          <rPr>
            <sz val="9"/>
            <color indexed="81"/>
            <rFont val="Tahoma"/>
            <family val="2"/>
          </rPr>
          <t xml:space="preserve">
Joe - Navigant seems to have reported two different sets of numbers</t>
        </r>
      </text>
    </comment>
  </commentList>
</comments>
</file>

<file path=xl/sharedStrings.xml><?xml version="1.0" encoding="utf-8"?>
<sst xmlns="http://schemas.openxmlformats.org/spreadsheetml/2006/main" count="2602" uniqueCount="1036">
  <si>
    <t>Notes</t>
  </si>
  <si>
    <t>NA</t>
  </si>
  <si>
    <t>Return To TRM_MCS_Measures</t>
  </si>
  <si>
    <t>N/A</t>
  </si>
  <si>
    <t>Baseline Cost</t>
  </si>
  <si>
    <t>Incremental Cost</t>
  </si>
  <si>
    <t>Globe</t>
  </si>
  <si>
    <t>Time (Years)</t>
  </si>
  <si>
    <t>2017 Adjustment factor</t>
  </si>
  <si>
    <t>LED Refrigerated Case - Open Case</t>
  </si>
  <si>
    <t>LED Refrigerated Case - Door Case</t>
  </si>
  <si>
    <t>Measure</t>
  </si>
  <si>
    <t xml:space="preserve">Vertical – Center $28.43/ft.
Vertical – End $21.10/ft.
Horizontal $21.55/ft.
</t>
  </si>
  <si>
    <t>Baseline</t>
  </si>
  <si>
    <t>Subcategory</t>
  </si>
  <si>
    <t>Inflation</t>
  </si>
  <si>
    <t>O&amp;M Benefits</t>
  </si>
  <si>
    <t xml:space="preserve">source </t>
  </si>
  <si>
    <t>www.neep.org/file/1080/download?token=1ZtjiFKq</t>
  </si>
  <si>
    <t xml:space="preserve">Passive Infrared Occupancy Sensor (Ceiling) </t>
  </si>
  <si>
    <t xml:space="preserve">Passive Infrared Occupancy Sensor (Wall) </t>
  </si>
  <si>
    <t xml:space="preserve">Passive Infrared &amp; Ultrasonic Occupancy Sensor (Ceiling) </t>
  </si>
  <si>
    <t xml:space="preserve">Passive Infrared &amp; Ultrasonic Occupancy Sensor (Wall) </t>
  </si>
  <si>
    <t xml:space="preserve">NEEP/Navigant Occupancy Sensor </t>
  </si>
  <si>
    <t>Source</t>
  </si>
  <si>
    <t xml:space="preserve">Base Cost Factor Definition from Navigant Report </t>
  </si>
  <si>
    <t>Not directly comparable Mid-A TRM cons in terms per ft. Itron Cost In terms of per fixture. Materials =$178.05, Labor = $40.24, buildup estimate = $218.29 - 2014 dollars</t>
  </si>
  <si>
    <t>Not directly comparable Mid-A TRM cons in terms per ft. Itron Cost In terms of per fixture. Materials =$219.17, Labor = $30.74, buildup estimate = $249.87 - 2014 dollars</t>
  </si>
  <si>
    <t>Return To Mid-A TRM_MCS_Measures</t>
  </si>
  <si>
    <t>Baseline Description</t>
  </si>
  <si>
    <t>250 Watt Metal Halide</t>
  </si>
  <si>
    <t>400 Watt Pulse Start Metal Halide</t>
  </si>
  <si>
    <t>Base Cost</t>
  </si>
  <si>
    <t>Average Inflation</t>
  </si>
  <si>
    <t>Time Period</t>
  </si>
  <si>
    <t>2012-2016</t>
  </si>
  <si>
    <t>Measure Incremental Costs and Benefits</t>
  </si>
  <si>
    <t>Measure Identifiers</t>
  </si>
  <si>
    <t>Cost or Benefit</t>
  </si>
  <si>
    <t>Analysis Approach</t>
  </si>
  <si>
    <t>Data Sources</t>
  </si>
  <si>
    <t>Source Type</t>
  </si>
  <si>
    <t>Year of the Dollars</t>
  </si>
  <si>
    <t>Uncertainty Estimate</t>
  </si>
  <si>
    <t>All</t>
  </si>
  <si>
    <t>Sector</t>
  </si>
  <si>
    <t>Category</t>
  </si>
  <si>
    <t>ProCost Full Measure Name</t>
  </si>
  <si>
    <t>Technology, Measure or Practice</t>
  </si>
  <si>
    <t>Unit Type</t>
  </si>
  <si>
    <t>Building Type</t>
  </si>
  <si>
    <t>Lamp Type</t>
  </si>
  <si>
    <t>Lumen Bin</t>
  </si>
  <si>
    <t>Delivery Mechanism or Program</t>
  </si>
  <si>
    <t>Residential</t>
  </si>
  <si>
    <t>Lighting</t>
  </si>
  <si>
    <t>Screw-in Lamps</t>
  </si>
  <si>
    <t>Light bulb</t>
  </si>
  <si>
    <t>Retail_CFL_Decorative and Mini-Base_250 to 1049 lumens</t>
  </si>
  <si>
    <t>CFL</t>
  </si>
  <si>
    <t>Primarily residential</t>
  </si>
  <si>
    <t>Decorative and Mini-Base</t>
  </si>
  <si>
    <t>250 to 1049 lumens</t>
  </si>
  <si>
    <t>Retail</t>
  </si>
  <si>
    <t>Retail_CFL_Decorative and Mini-Base_1050 to 1489 lumens</t>
  </si>
  <si>
    <t>1050 to 1489 lumens</t>
  </si>
  <si>
    <t>Retail_CFL_Decorative and Mini-Base_1490 to 2600 lumens</t>
  </si>
  <si>
    <t>1490 to 2600 lumens</t>
  </si>
  <si>
    <t>Retail_CFL_General Purpose, Dimmable, and Three-Way_250 to 1049 lumens</t>
  </si>
  <si>
    <t>General Purpose, Dimmable, and Three-Way</t>
  </si>
  <si>
    <t>Retail_CFL_General Purpose, Dimmable, and Three-Way_1050 to 1489 lumens</t>
  </si>
  <si>
    <t>Retail_CFL_General Purpose, Dimmable, and Three-Way_1490 to 2600 lumens</t>
  </si>
  <si>
    <t>Retail_CFL_Globe_250 to 1049 lumens</t>
  </si>
  <si>
    <t>Retail_CFL_Globe_1050 to 1489 lumens</t>
  </si>
  <si>
    <t>Retail_CFL_Globe_1490 to 2600 lumens</t>
  </si>
  <si>
    <t>Retail_CFL_Reflectors and Outdoor_250 to 1049 lumens</t>
  </si>
  <si>
    <t>Reflectors and Outdoor</t>
  </si>
  <si>
    <t>Retail_CFL_Reflectors and Outdoor_1050 to 1489 lumens</t>
  </si>
  <si>
    <t>Retail_CFL_Reflectors and Outdoor_1490 to 2600 lumens</t>
  </si>
  <si>
    <t>Mail by request_CFL_Decorative and Mini-Base_250 to 1049 lumens</t>
  </si>
  <si>
    <t>Mail by request</t>
  </si>
  <si>
    <t>Mail by request_CFL_Decorative and Mini-Base_1050 to 1489 lumens</t>
  </si>
  <si>
    <t>Mail by request_CFL_Decorative and Mini-Base_1490 to 2600 lumens</t>
  </si>
  <si>
    <t>Mail by request_CFL_General Purpose, Dimmable, and Three-Way_250 to 1049 lumens</t>
  </si>
  <si>
    <t>Mail by request_CFL_General Purpose, Dimmable, and Three-Way_1050 to 1489 lumens</t>
  </si>
  <si>
    <t>Mail by request_CFL_General Purpose, Dimmable, and Three-Way_1490 to 2600 lumens</t>
  </si>
  <si>
    <t>Mail by request_CFL_Globe_250 to 1049 lumens</t>
  </si>
  <si>
    <t>Mail by request_CFL_Globe_1050 to 1489 lumens</t>
  </si>
  <si>
    <t>Mail by request_CFL_Globe_1490 to 2600 lumens</t>
  </si>
  <si>
    <t>Mail by request_CFL_Reflectors and Outdoor_250 to 1049 lumens</t>
  </si>
  <si>
    <t>Mail by request_CFL_Reflectors and Outdoor_1050 to 1489 lumens</t>
  </si>
  <si>
    <t>Mail by request_CFL_Reflectors and Outdoor_1490 to 2600 lumens</t>
  </si>
  <si>
    <t>Unsolicited mail_CFL_Decorative and Mini-Base_250 to 1049 lumens</t>
  </si>
  <si>
    <t>Unsolicited mail</t>
  </si>
  <si>
    <t>Unsolicited mail_CFL_Decorative and Mini-Base_1050 to 1489 lumens</t>
  </si>
  <si>
    <t>Unsolicited mail_CFL_Decorative and Mini-Base_1490 to 2600 lumens</t>
  </si>
  <si>
    <t>Unsolicited mail_CFL_General Purpose, Dimmable, and Three-Way_250 to 1049 lumens</t>
  </si>
  <si>
    <t>Unsolicited mail_CFL_General Purpose, Dimmable, and Three-Way_1050 to 1489 lumens</t>
  </si>
  <si>
    <t>Unsolicited mail_CFL_General Purpose, Dimmable, and Three-Way_1490 to 2600 lumens</t>
  </si>
  <si>
    <t>Unsolicited mail_CFL_Globe_250 to 1049 lumens</t>
  </si>
  <si>
    <t>Unsolicited mail_CFL_Globe_1050 to 1489 lumens</t>
  </si>
  <si>
    <t>Unsolicited mail_CFL_Globe_1490 to 2600 lumens</t>
  </si>
  <si>
    <t>Unsolicited mail_CFL_Reflectors and Outdoor_250 to 1049 lumens</t>
  </si>
  <si>
    <t>Unsolicited mail_CFL_Reflectors and Outdoor_1050 to 1489 lumens</t>
  </si>
  <si>
    <t>Unsolicited mail_CFL_Reflectors and Outdoor_1490 to 2600 lumens</t>
  </si>
  <si>
    <t>Give away_CFL_Decorative and Mini-Base_250 to 1049 lumens</t>
  </si>
  <si>
    <t>Give away</t>
  </si>
  <si>
    <t>Give away_CFL_Decorative and Mini-Base_1050 to 1489 lumens</t>
  </si>
  <si>
    <t>Give away_CFL_Decorative and Mini-Base_1490 to 2600 lumens</t>
  </si>
  <si>
    <t>Give away_CFL_General Purpose, Dimmable, and Three-Way_250 to 1049 lumens</t>
  </si>
  <si>
    <t>Give away_CFL_General Purpose, Dimmable, and Three-Way_1050 to 1489 lumens</t>
  </si>
  <si>
    <t>Give away_CFL_General Purpose, Dimmable, and Three-Way_1490 to 2600 lumens</t>
  </si>
  <si>
    <t>Give away_CFL_Globe_250 to 1049 lumens</t>
  </si>
  <si>
    <t>Give away_CFL_Globe_1050 to 1489 lumens</t>
  </si>
  <si>
    <t>Give away_CFL_Globe_1490 to 2600 lumens</t>
  </si>
  <si>
    <t>Give away_CFL_Reflectors and Outdoor_250 to 1049 lumens</t>
  </si>
  <si>
    <t>Give away_CFL_Reflectors and Outdoor_1050 to 1489 lumens</t>
  </si>
  <si>
    <t>Give away_CFL_Reflectors and Outdoor_1490 to 2600 lumens</t>
  </si>
  <si>
    <t>Direct install - Exterior_CFL_Decorative and Mini-Base_250 to 1049 lumens</t>
  </si>
  <si>
    <t>Residential - Exterior</t>
  </si>
  <si>
    <t>Direct install</t>
  </si>
  <si>
    <t>Direct install - Exterior_CFL_Decorative and Mini-Base_1050 to 1489 lumens</t>
  </si>
  <si>
    <t>Direct install - Exterior_CFL_Decorative and Mini-Base_1490 to 2600 lumens</t>
  </si>
  <si>
    <t>Direct install - Exterior_CFL_General Purpose, Dimmable, and Three-Way_250 to 1049 lumens</t>
  </si>
  <si>
    <t>Direct install - Exterior_CFL_General Purpose, Dimmable, and Three-Way_1050 to 1489 lumens</t>
  </si>
  <si>
    <t>Direct install - Exterior_CFL_General Purpose, Dimmable, and Three-Way_1490 to 2600 lumens</t>
  </si>
  <si>
    <t>Direct install - Exterior_CFL_Globe_250 to 1049 lumens</t>
  </si>
  <si>
    <t>Direct install - Exterior_CFL_Globe_1050 to 1489 lumens</t>
  </si>
  <si>
    <t>Direct install - Exterior_CFL_Globe_1490 to 2600 lumens</t>
  </si>
  <si>
    <t>Direct install - Exterior_CFL_Reflectors and Outdoor_250 to 1049 lumens</t>
  </si>
  <si>
    <t>Direct install - Exterior_CFL_Reflectors and Outdoor_1050 to 1489 lumens</t>
  </si>
  <si>
    <t>Direct install - Exterior_CFL_Reflectors and Outdoor_1490 to 2600 lumens</t>
  </si>
  <si>
    <t>Direct install - High Use_CFL_Decorative and Mini-Base_250 to 1049 lumens</t>
  </si>
  <si>
    <t>Residential - Family room, Living room, Kitchen</t>
  </si>
  <si>
    <t>Direct install - High Use_CFL_Decorative and Mini-Base_1050 to 1489 lumens</t>
  </si>
  <si>
    <t>Direct install - High Use_CFL_Decorative and Mini-Base_1490 to 2600 lumens</t>
  </si>
  <si>
    <t>Direct install - High Use_CFL_General Purpose, Dimmable, and Three-Way_250 to 1049 lumens</t>
  </si>
  <si>
    <t>Direct install - High Use_CFL_General Purpose, Dimmable, and Three-Way_1050 to 1489 lumens</t>
  </si>
  <si>
    <t>Direct install - High Use_CFL_General Purpose, Dimmable, and Three-Way_1490 to 2600 lumens</t>
  </si>
  <si>
    <t>Direct install - High Use_CFL_Globe_250 to 1049 lumens</t>
  </si>
  <si>
    <t>Direct install - High Use_CFL_Globe_1050 to 1489 lumens</t>
  </si>
  <si>
    <t>Direct install - High Use_CFL_Globe_1490 to 2600 lumens</t>
  </si>
  <si>
    <t>Direct install - High Use_CFL_Reflectors and Outdoor_250 to 1049 lumens</t>
  </si>
  <si>
    <t>Direct install - High Use_CFL_Reflectors and Outdoor_1050 to 1489 lumens</t>
  </si>
  <si>
    <t>Direct install - High Use_CFL_Reflectors and Outdoor_1490 to 2600 lumens</t>
  </si>
  <si>
    <t>Direct install - Moderate Use_CFL_Decorative and Mini-Base_250 to 1049 lumens</t>
  </si>
  <si>
    <t>Residential - All except exterior, family room, living room, kitchen, and closet</t>
  </si>
  <si>
    <t>Direct install - Moderate Use_CFL_Decorative and Mini-Base_1050 to 1489 lumens</t>
  </si>
  <si>
    <t>Direct install - Moderate Use_CFL_Decorative and Mini-Base_1490 to 2600 lumens</t>
  </si>
  <si>
    <t>Direct install - Moderate Use_CFL_General Purpose, Dimmable, and Three-Way_250 to 1049 lumens</t>
  </si>
  <si>
    <t>Direct install - Moderate Use_CFL_General Purpose, Dimmable, and Three-Way_1050 to 1489 lumens</t>
  </si>
  <si>
    <t>Direct install - Moderate Use_CFL_General Purpose, Dimmable, and Three-Way_1490 to 2600 lumens</t>
  </si>
  <si>
    <t>Direct install - Moderate Use_CFL_Globe_250 to 1049 lumens</t>
  </si>
  <si>
    <t>Direct install - Moderate Use_CFL_Globe_1050 to 1489 lumens</t>
  </si>
  <si>
    <t>Direct install - Moderate Use_CFL_Globe_1490 to 2600 lumens</t>
  </si>
  <si>
    <t>Direct install - Moderate Use_CFL_Reflectors and Outdoor_250 to 1049 lumens</t>
  </si>
  <si>
    <t>Direct install - Moderate Use_CFL_Reflectors and Outdoor_1050 to 1489 lumens</t>
  </si>
  <si>
    <t>Direct install - Moderate Use_CFL_Reflectors and Outdoor_1490 to 2600 lumens</t>
  </si>
  <si>
    <t>Incremental Capital Cost ($/unit)( $2006)</t>
  </si>
  <si>
    <t>Incremental Capital Cost ($/unit)( $2017)</t>
  </si>
  <si>
    <t>2006-2016</t>
  </si>
  <si>
    <t>Capital Cost</t>
  </si>
  <si>
    <t>Market data on retail lamps.  Bulk CFL lamp cost (for non-retail delivery mechanisms) is scaled down from retail lamp to reflect historic program costs.
LED costs from 2014 are forecasted to 2016 based on near-term cost trends observed by PNNL in 2013.</t>
  </si>
  <si>
    <t>Direct Install: Pre-conditions
All other delivery mechanisms: Current Practice</t>
  </si>
  <si>
    <t>NEEA/BPA 2014 Shelf/Sales analysis</t>
  </si>
  <si>
    <t>In-Store Retail</t>
  </si>
  <si>
    <t>2006$</t>
  </si>
  <si>
    <t>low</t>
  </si>
  <si>
    <t>CA IOU WorkPapers</t>
  </si>
  <si>
    <t>Measure Code</t>
  </si>
  <si>
    <t>Measure Description</t>
  </si>
  <si>
    <t>SCE</t>
  </si>
  <si>
    <t>Measure Cost</t>
  </si>
  <si>
    <t>IMC</t>
  </si>
  <si>
    <t>Measure ID</t>
  </si>
  <si>
    <t>ROB</t>
  </si>
  <si>
    <t>2013 (Combined) Results - Material</t>
  </si>
  <si>
    <t>Base Cost Factor</t>
  </si>
  <si>
    <t>Efficient Measure Full Material Cost</t>
  </si>
  <si>
    <t>Cost per Unit ($/LED)</t>
  </si>
  <si>
    <t>Cost per Foot ($/ft.)</t>
  </si>
  <si>
    <t>Cost per Door ($/door)</t>
  </si>
  <si>
    <t>Vertical - Center</t>
  </si>
  <si>
    <t>Vertical - End</t>
  </si>
  <si>
    <t>Horizontal</t>
  </si>
  <si>
    <t>Overall</t>
  </si>
  <si>
    <t>2013 (Combined) Results - Labor</t>
  </si>
  <si>
    <t>Efficient Measure Labor Cost</t>
  </si>
  <si>
    <t>2013 (Combined) Results - Incremental</t>
  </si>
  <si>
    <t>Efficient Measure Incremental Cost</t>
  </si>
  <si>
    <t>Base Cost Factor is a cost factor applied to the identified markets to normalize costs collected in each market, and to then determine the costs in each market following analysis of each measure data set.</t>
  </si>
  <si>
    <t>See Commercial LED Regeneration Case Lighting http://www.neep.org/incremental-cost-study-phase-3</t>
  </si>
  <si>
    <t>If the implementation strategy allows the collection of actual costs, or an appropriate average, then that should be used. If not, the incremental cost for this measure is assumed to be $36</t>
  </si>
  <si>
    <t>LED Wattage</t>
  </si>
  <si>
    <t>Lamp Costs</t>
  </si>
  <si>
    <t>Efficient</t>
  </si>
  <si>
    <t>LED</t>
  </si>
  <si>
    <t>Incandescent or EISA compliant</t>
  </si>
  <si>
    <t>Incandescent or EISA complaint</t>
  </si>
  <si>
    <t xml:space="preserve"> Omnidirectional</t>
  </si>
  <si>
    <t>&lt;15W</t>
  </si>
  <si>
    <t>&gt;=15W</t>
  </si>
  <si>
    <t>Decorative</t>
  </si>
  <si>
    <t xml:space="preserve">15&lt;= to &lt;25W </t>
  </si>
  <si>
    <t>&gt;=25W</t>
  </si>
  <si>
    <t>Directional</t>
  </si>
  <si>
    <t>&lt; 20W</t>
  </si>
  <si>
    <t>&gt;=20W</t>
  </si>
  <si>
    <t>Measure Category</t>
  </si>
  <si>
    <t>Installed Cost</t>
  </si>
  <si>
    <t>LED Outdoor Pole/Arm Area and Roadway Luminaires</t>
  </si>
  <si>
    <t>Fixture replacing up to 175W HID</t>
  </si>
  <si>
    <t>Fixture replacing 176-250W HID</t>
  </si>
  <si>
    <t>Fixture replacing 251+ HID</t>
  </si>
  <si>
    <t>LED Wall-Mounted Area Luminaires</t>
  </si>
  <si>
    <t>All Fixtures</t>
  </si>
  <si>
    <t>See MidA TRM Outdoor Area and Road LED IMC</t>
  </si>
  <si>
    <t>"Incremental costs should be determined on a site-specific basis depending on the actual baseline and efficient equipment. For the illustrative example, the incremental cost is approximately $200."</t>
  </si>
  <si>
    <t>LED High-Bay Luminaires and Retrofit Kits</t>
  </si>
  <si>
    <t>Incremental costs should be determined on a site-specific basis depending on the actual baseline and efficient equipment. For examples, the incremental costs are approximately $100 for 1x4 (4,600 mean system lumens), $75 for 2x2 (4,100 mean system lumens), and $125 for 2x4 (6,900 mean system lumens) luminaires.</t>
  </si>
  <si>
    <t>LED 1x4, 2x2, and 2x4 Luminaires and Retrofit Kits</t>
  </si>
  <si>
    <t xml:space="preserve">Incremental Cost Average of All Categories   $343.
</t>
  </si>
  <si>
    <t xml:space="preserve">ENERGY STAR Integrated Screw Based SSL (LED) Lamp </t>
  </si>
  <si>
    <t xml:space="preserve">LED Outdoor Pole/Arm- or Wall-Mounted Area and Roadway Lighting Luminaires and Retrofit Kits </t>
  </si>
  <si>
    <t>LED 1x4, 2x2, and 2x4 Luminaires and Retrofit Kits - Comm</t>
  </si>
  <si>
    <t>LED Parking Garage/Canopy Luminaires and Retrofit Kits - Comm</t>
  </si>
  <si>
    <t>Exterior LED Flood and Spot Luminaires</t>
  </si>
  <si>
    <t>Lower Lumen Range</t>
  </si>
  <si>
    <t>Upper Lumen Range</t>
  </si>
  <si>
    <t>See MidA TRM Exterior LED Flood and Spot Luminaires</t>
  </si>
  <si>
    <t>LED Four-Foot Linear Replacement Lamps</t>
  </si>
  <si>
    <t>The incremental costs (equipment and labor) LED linear replacement lamps are as follows: 
Type A: $22.67 per LED replacement lamp, $47.50 for the ballast.
Type C: $22.67 per LED replacement lamp, $15.07 for the external driver.</t>
  </si>
  <si>
    <t>Interior LED Downlight Fixtures.</t>
  </si>
  <si>
    <t>MeasMatlCost</t>
  </si>
  <si>
    <t>StdMatlCost</t>
  </si>
  <si>
    <t>LT-61219</t>
  </si>
  <si>
    <t>≤ 15 Watt Down Light (Res) LED Fixture</t>
  </si>
  <si>
    <t>PAR30 incandescent or halogen between 40 and 100 Watts</t>
  </si>
  <si>
    <t>LT-68701</t>
  </si>
  <si>
    <t>≤ 15 Watt Down Light (Non Res) LED Fixture</t>
  </si>
  <si>
    <t>LT-16307</t>
  </si>
  <si>
    <t>≤ 15 Watt Down Light (Common Area) LED Fixture</t>
  </si>
  <si>
    <t>LT-89884</t>
  </si>
  <si>
    <t>≤ 15 Watt Down Light (Dwelling Area) LED Fixture</t>
  </si>
  <si>
    <t>Source:  Work Paper SCE13LG103. Interior LED Downlight Fixtures. Revision 3. 11/30/2015</t>
  </si>
  <si>
    <t>LED Outdoor Pole/Arm or Wall-Mounted Area &amp; Roadway Lighting Luminaires and Retrofit Kits</t>
  </si>
  <si>
    <t>LT-27419</t>
  </si>
  <si>
    <t>LED Street Light 28 Watts</t>
  </si>
  <si>
    <t>HPS Street Light 66 Watts</t>
  </si>
  <si>
    <t>LT-73136</t>
  </si>
  <si>
    <t>LED Street Light 43 Watts</t>
  </si>
  <si>
    <t>HPS Street Light 95 Watts</t>
  </si>
  <si>
    <t>LT-80500</t>
  </si>
  <si>
    <t>LED Street Light 54 Watts</t>
  </si>
  <si>
    <t>HPS Street Light 138 Watts</t>
  </si>
  <si>
    <t>LT-24820</t>
  </si>
  <si>
    <t>LED Street Light 90 Watts</t>
  </si>
  <si>
    <t>HPS Street Light 188 Watts</t>
  </si>
  <si>
    <t>LT-78130</t>
  </si>
  <si>
    <t>LED Street Light 130 Watts</t>
  </si>
  <si>
    <t>HPS Street Light 250 Watts</t>
  </si>
  <si>
    <t>LT-35164</t>
  </si>
  <si>
    <t>LED Street Light 190 Watts</t>
  </si>
  <si>
    <t>HPS Street Light 295 Watts</t>
  </si>
  <si>
    <t>LT-61338</t>
  </si>
  <si>
    <t>LED Street Light 222 Watts</t>
  </si>
  <si>
    <t>HPS Street Light 365 Watts</t>
  </si>
  <si>
    <t>LT-81983</t>
  </si>
  <si>
    <t>LED Street Light 260 Watts</t>
  </si>
  <si>
    <t>HPS Street Light 465 Watts</t>
  </si>
  <si>
    <t>LT-94198</t>
  </si>
  <si>
    <t>PSMH Street Light 95 Watts</t>
  </si>
  <si>
    <t>LT-18053</t>
  </si>
  <si>
    <t>PSMH Street Light 128 Watts</t>
  </si>
  <si>
    <t>LT-39353</t>
  </si>
  <si>
    <t>PSMH Street Light 190 Watts</t>
  </si>
  <si>
    <t>LT-59292</t>
  </si>
  <si>
    <t>PSMH Street Light 215 Watts</t>
  </si>
  <si>
    <t>LT-35035</t>
  </si>
  <si>
    <t>PSMH Street Light 295 Watts</t>
  </si>
  <si>
    <t>LT-46736</t>
  </si>
  <si>
    <t>PSMH Street Light 458 Watts</t>
  </si>
  <si>
    <t>Source:  Work Paper SCE13LG097. LED Street Lighting. Revision 3. 11/02/2016</t>
  </si>
  <si>
    <t>LT-20785</t>
  </si>
  <si>
    <t>40 to 131 Watt High/Low Bay LED</t>
  </si>
  <si>
    <t>175 Watt Pulse Start Metal Halide</t>
  </si>
  <si>
    <t>LT-47551</t>
  </si>
  <si>
    <t>&gt;131 to 160 Watt High/Low Bay LED</t>
  </si>
  <si>
    <t>200 Watt Pulse Start Metal Halide</t>
  </si>
  <si>
    <t>LT-99280</t>
  </si>
  <si>
    <t>&gt;160 to 187 Watt High/Low Bay LED</t>
  </si>
  <si>
    <t>250 Watt Pulse Start Metal Halide</t>
  </si>
  <si>
    <t>LT-36878</t>
  </si>
  <si>
    <t>&gt;187 to 220 Watt High/Low Bay LED</t>
  </si>
  <si>
    <t>320 Watt Pulse Start Metal Halide</t>
  </si>
  <si>
    <t>LT-70713</t>
  </si>
  <si>
    <t>&gt;220 to 262 Watt High/Low Bay LED</t>
  </si>
  <si>
    <t>350 Watt Pulse Start Metal Halide</t>
  </si>
  <si>
    <t>LT-28599</t>
  </si>
  <si>
    <t>&gt;262 to 280 Watt High/Low Bay LED</t>
  </si>
  <si>
    <t>LT-79419</t>
  </si>
  <si>
    <t>&gt;280 to 320 Watt High/Low Bay LED</t>
  </si>
  <si>
    <t>450 Watt Pulse Start Metal Halide</t>
  </si>
  <si>
    <t>LT-22805</t>
  </si>
  <si>
    <t>&gt;320 to 500 Watt High/Low Bay LED</t>
  </si>
  <si>
    <t>750 Watt Pulse Start Metal Halide</t>
  </si>
  <si>
    <t>LT-68702</t>
  </si>
  <si>
    <t>&gt;500 to 750 Watt High/Low Bay LED</t>
  </si>
  <si>
    <t>1000 Watt Pulse Start Metal Halide</t>
  </si>
  <si>
    <t>LT-35334</t>
  </si>
  <si>
    <t>(4) 48in T8 VHLO</t>
  </si>
  <si>
    <t>LT-68154</t>
  </si>
  <si>
    <t>(6) 48in T8 VHLO</t>
  </si>
  <si>
    <t>LT-54307</t>
  </si>
  <si>
    <t>&gt;160 to 220 Watt High/Low Bay LED</t>
  </si>
  <si>
    <t>(8) 48in T8 VHLO</t>
  </si>
  <si>
    <t>LT-55561</t>
  </si>
  <si>
    <t>175 Watt Metal Halide</t>
  </si>
  <si>
    <t>LT-97550</t>
  </si>
  <si>
    <t>LT-71583</t>
  </si>
  <si>
    <t>320 Watt Metal Halide</t>
  </si>
  <si>
    <t>LT-86205</t>
  </si>
  <si>
    <t>350 Watt Metal Halide</t>
  </si>
  <si>
    <t>LT-79060</t>
  </si>
  <si>
    <t>400 Watt Metal Halide</t>
  </si>
  <si>
    <t>LT-63775</t>
  </si>
  <si>
    <t>&gt;262 to 320 Watt High/Low Bay LED</t>
  </si>
  <si>
    <t>450 Watt Metal Halide</t>
  </si>
  <si>
    <t>LT-96353</t>
  </si>
  <si>
    <t>750 Watt Metal Halide</t>
  </si>
  <si>
    <t>LT-98618</t>
  </si>
  <si>
    <t>1000 Watt Metal Halide</t>
  </si>
  <si>
    <t>LT042</t>
  </si>
  <si>
    <t>2'x4' LED new Luminaire; rated ≥110 and &lt;125 LPW, Ambient Interior Commercial Spaces</t>
  </si>
  <si>
    <t>Linear fluorescent recessed fixture or kit in 2x4, 2x2 or 1x4 size, with lamp and ballast meeting federal standard.</t>
  </si>
  <si>
    <t>LT043</t>
  </si>
  <si>
    <t>2'x4' LED new Luminaire; rated ≥125 LPW, Ambient Interior Commercial Spaces</t>
  </si>
  <si>
    <t>LT046</t>
  </si>
  <si>
    <t>2'x2' LED new Luminaire; rated ≥110 and &lt;125 LPW, Ambient Interior Commercial Spaces</t>
  </si>
  <si>
    <t>LT047</t>
  </si>
  <si>
    <t>2'x2' LED new Luminaire; rated ≥125 LPW, Ambient Interior Commercial Spaces</t>
  </si>
  <si>
    <t>LT050</t>
  </si>
  <si>
    <t>1'x4' LED new Luminaire; rated ≥110 and &lt;125 LPW, Ambient Interior Commercial Spaces</t>
  </si>
  <si>
    <t>LT051</t>
  </si>
  <si>
    <t>1'x4' LED new Luminaire; rated ≥125 LPW, Ambient Interior Commercial Spaces</t>
  </si>
  <si>
    <t>LT054</t>
  </si>
  <si>
    <t>2'x4' LED Integrated retrofit kit; rated ≥110 and &lt;125 LPW, Ambient Interior Commercial Spaces</t>
  </si>
  <si>
    <t>LT055</t>
  </si>
  <si>
    <t>2'x4' LED Integrated retrofit kit; rated ≥125 LPW, Ambient Interior Commercial Spaces</t>
  </si>
  <si>
    <t>LT058</t>
  </si>
  <si>
    <t>2'x2' LED Integrated retrofit kit; rated ≥110 and &lt;125 LPW, Ambient Interior Commercial Spaces</t>
  </si>
  <si>
    <t>LT059</t>
  </si>
  <si>
    <t>2'x2' LED Integrated retrofit kit; rated ≥125 LPW, Ambient Interior Commercial Spaces</t>
  </si>
  <si>
    <t>LT062</t>
  </si>
  <si>
    <t>1'x4' LED Integrated retrofit kit; rated ≥110 and &lt;125 LPW, Ambient Interior Commercial Spaces</t>
  </si>
  <si>
    <t>LT063</t>
  </si>
  <si>
    <t>1'x4' LED Integrated retrofit kit; rated ≥125 LPW, Ambient Interior Commercial Spaces</t>
  </si>
  <si>
    <t>LT064</t>
  </si>
  <si>
    <t>LED PAR16: &lt;6 Watts</t>
  </si>
  <si>
    <t>LT065</t>
  </si>
  <si>
    <t>LED PAR16: 6 to &lt; 7 Watts</t>
  </si>
  <si>
    <t>LT066</t>
  </si>
  <si>
    <t>LED PAR16: ≥7 Watts</t>
  </si>
  <si>
    <t>LD03</t>
  </si>
  <si>
    <t>LD167</t>
  </si>
  <si>
    <t>LED PAR30: &lt;10 Watts</t>
  </si>
  <si>
    <t>LD168</t>
  </si>
  <si>
    <t>LED PAR30: 10 to &lt;11 Watts</t>
  </si>
  <si>
    <t>LD169</t>
  </si>
  <si>
    <t>LED PAR30: 11 to &lt;12 Watts</t>
  </si>
  <si>
    <t>LD170</t>
  </si>
  <si>
    <t>LED PAR30: 12 to &lt;13 Watts</t>
  </si>
  <si>
    <t>LD171</t>
  </si>
  <si>
    <t>LED PAR30: 13 to &lt;14 Watts</t>
  </si>
  <si>
    <t>LD172</t>
  </si>
  <si>
    <t>LED PAR30:  14  to &lt;15 Watts</t>
  </si>
  <si>
    <t>LD173</t>
  </si>
  <si>
    <t>LED PAR30:  15  to &lt;16 Watts</t>
  </si>
  <si>
    <t>LD174</t>
  </si>
  <si>
    <t>LED PAR30: 16 to &lt;17 Watts</t>
  </si>
  <si>
    <t>LD175</t>
  </si>
  <si>
    <t>LED PAR30: 17 to &lt;18 Watts</t>
  </si>
  <si>
    <t>LD176</t>
  </si>
  <si>
    <t>LED PAR30: 18 to &lt;19 Watts</t>
  </si>
  <si>
    <t>LD177</t>
  </si>
  <si>
    <t>LED PAR30: 19 to &lt;20 Watts</t>
  </si>
  <si>
    <t>LD178</t>
  </si>
  <si>
    <t>LED PAR30: ≥20 Watts</t>
  </si>
  <si>
    <t>LD179</t>
  </si>
  <si>
    <t>LED PAR38: &lt; 12  Watts</t>
  </si>
  <si>
    <t>LD180</t>
  </si>
  <si>
    <t>LED PAR38: 12 to &lt;13  Watts</t>
  </si>
  <si>
    <t>LD181</t>
  </si>
  <si>
    <t>LED PAR38: 13 to &lt;14  Watts</t>
  </si>
  <si>
    <t>LD182</t>
  </si>
  <si>
    <t>LED PAR38: 14 to &lt;15  Watts</t>
  </si>
  <si>
    <t>LD183</t>
  </si>
  <si>
    <t>LED PAR38: 15 to &lt;16  Watts</t>
  </si>
  <si>
    <t>LD184</t>
  </si>
  <si>
    <t>LD185</t>
  </si>
  <si>
    <t>LD186</t>
  </si>
  <si>
    <t>LD187</t>
  </si>
  <si>
    <t>LD188</t>
  </si>
  <si>
    <t>LED PAR38: 20 to &lt;21 Watts</t>
  </si>
  <si>
    <t>LD189</t>
  </si>
  <si>
    <t>LED PAR38: 21 to &lt;22 Watts</t>
  </si>
  <si>
    <t>LD190</t>
  </si>
  <si>
    <t>LED PAR38: 22 to &lt;23 Watts</t>
  </si>
  <si>
    <t>LD191</t>
  </si>
  <si>
    <t>LED PAR38: 23 to &lt;24 Watts</t>
  </si>
  <si>
    <t>LD192</t>
  </si>
  <si>
    <t>LED PAR38: 24 to &lt;25 Watts</t>
  </si>
  <si>
    <t>LD193</t>
  </si>
  <si>
    <t>LED PAR38: 25 to &lt;26 Watts</t>
  </si>
  <si>
    <t>LD194</t>
  </si>
  <si>
    <t>LED PAR38: 26 to &lt;27 Watts</t>
  </si>
  <si>
    <t>LD195</t>
  </si>
  <si>
    <t>LED PAR38: ≥27 Watts</t>
  </si>
  <si>
    <t>Descriptions from Mid-A TRM</t>
  </si>
  <si>
    <t>Measure Filters</t>
  </si>
  <si>
    <t>Baseline Filters</t>
  </si>
  <si>
    <t>Omni-directional</t>
  </si>
  <si>
    <t>LED: A-Lamp; Less than 750 Lumens; all Base Types</t>
  </si>
  <si>
    <t>Incan/Hal: A-Lamp; Less than 750 Lumens; all Base Types</t>
  </si>
  <si>
    <t>LED: A-lamp; Greater than 750 Lumens; all Base Types</t>
  </si>
  <si>
    <t>Incan/Hal: A-lamp; Greater than 750 Lumens; all Base Types</t>
  </si>
  <si>
    <t>LED: Globe/Torpedo;Less than 750 Lumens; all Base Types</t>
  </si>
  <si>
    <t>Incan/Hal: Globe/Torpedo;Less than 750 Lumens; all Base Types</t>
  </si>
  <si>
    <t>&lt;=15 to &lt;25W</t>
  </si>
  <si>
    <t>LED: Globe/Torpedo;750-1489 Lumens; all Base Types</t>
  </si>
  <si>
    <t>Incan/Hal: Globe/Torpedo;750-1489 Lumens; all Base Types</t>
  </si>
  <si>
    <t>LED: Globe/Torpedo; Greater than 1490 Lumens; all Base Types</t>
  </si>
  <si>
    <t>Incan/Hal: Globe/Torpedo; Greater than 1490 Lumens; all Base Types</t>
  </si>
  <si>
    <t>&lt;20W</t>
  </si>
  <si>
    <t>LED: Reflector; Less than 1050 Lumens; all Base Types</t>
  </si>
  <si>
    <t>Incan/Hal: Reflector; Less than 1050 Lumens; all Base Types</t>
  </si>
  <si>
    <t>LED: Reflector; Greater than 1040 Lumens; all Base Types</t>
  </si>
  <si>
    <t>Incan/Hal: Reflector; Greater than 1040 Lumens; all Base Types</t>
  </si>
  <si>
    <t>Source: California Retail Lighting Shelf Survey Online Tool.  Filter descriptions are provided.  Based on data collected CA_2015/2016 Winter</t>
  </si>
  <si>
    <t>See CA_IOU_LED</t>
  </si>
  <si>
    <t xml:space="preserve">Solid State Lighting (LED) Recessed Downlight Luminaire </t>
  </si>
  <si>
    <t>Mid A Source: Navigant. May 2014. Incremental Cost Study Phase Three Final Report. Prepared for NEEP Regional Evaluation, Measurement &amp; Verification Forum</t>
  </si>
  <si>
    <t xml:space="preserve">MidA: Based on VEIC product review, April 2015. Baseline bulbs available in $3-$5 range, and SSL bulbs available in $20-$60 range. Incremental cost of $36 therefore assumed ($4 for the baseline bulb and $40 for the SSL). Note, this product is likely to fall rapidly in cost, so this should be reviewed frequently. </t>
  </si>
  <si>
    <t>Efficiency  Maine Technical Reference User Manual No.2010-1, 2010.</t>
  </si>
  <si>
    <t>Maine Technical Reference User Manual No.2010-1, 2010.</t>
  </si>
  <si>
    <t>:Efficiency Vermont TRM User Manual No. 2014-85b.</t>
  </si>
  <si>
    <t>Based on a review of incremental cost estimates from California Technical Forum. February 2015. T8 LED Tube Lamp Replacement Abstract Revision # 0, Efficiency Vermont TRM User Manual No. 2014-85b, and online wholesalers. As this measure is a retrofit-type, incremental costs assume the full cost of replacement of the lamps and (removal of) the ballast(s).</t>
  </si>
  <si>
    <t>See MidA TRM Residential Medium Screw Base LED IMC</t>
  </si>
  <si>
    <t xml:space="preserve">Mid A Source: Efficiency Vermont Technical Reference User Manual No. 2013-82.5, August 2013.  Note from Maine TRM "C&amp;I Prescriptive parameter values are deemed based on analysis of program data. They represent expected weighted averages for each measure type."- pulled from version 2017.4 Maine TRM  (could not find 2010 TRM on Efficiency Maine's website. </t>
  </si>
  <si>
    <t>Mid A Source: Efficiency Vermont Technical Reference User Manual No. 2013-82.5, August 2013.</t>
  </si>
  <si>
    <t>Average</t>
  </si>
  <si>
    <r>
      <t>Material</t>
    </r>
    <r>
      <rPr>
        <b/>
        <vertAlign val="superscript"/>
        <sz val="11"/>
        <rFont val="Times New Roman"/>
        <family val="1"/>
      </rPr>
      <t>1</t>
    </r>
  </si>
  <si>
    <r>
      <t>Installation</t>
    </r>
    <r>
      <rPr>
        <b/>
        <vertAlign val="superscript"/>
        <sz val="11"/>
        <rFont val="Times New Roman"/>
        <family val="1"/>
      </rPr>
      <t>1</t>
    </r>
  </si>
  <si>
    <r>
      <t>Weights</t>
    </r>
    <r>
      <rPr>
        <b/>
        <vertAlign val="superscript"/>
        <sz val="11"/>
        <rFont val="Times New Roman"/>
        <family val="1"/>
      </rPr>
      <t>2</t>
    </r>
  </si>
  <si>
    <t>Weighted Material</t>
  </si>
  <si>
    <t>Weighted Installation</t>
  </si>
  <si>
    <t>RSMeans City Cost Indices for Maryland</t>
  </si>
  <si>
    <t>ANNAPOLIS</t>
  </si>
  <si>
    <t>BALTIMORE</t>
  </si>
  <si>
    <t>COLLEGE PARK</t>
  </si>
  <si>
    <t>CUMBERLAND</t>
  </si>
  <si>
    <t>EASTON</t>
  </si>
  <si>
    <t>ELKTON</t>
  </si>
  <si>
    <t>HAGERSTOWN</t>
  </si>
  <si>
    <t>SALISBURY</t>
  </si>
  <si>
    <t xml:space="preserve">SILVER SPRING </t>
  </si>
  <si>
    <t>WALDORF</t>
  </si>
  <si>
    <t>Unweighted average</t>
  </si>
  <si>
    <t>Population wieghted average</t>
  </si>
  <si>
    <t>Table G-1:  Statewide RSMeans Cost Indices Weighted by 2010-2012 HVAC Measure Claims</t>
  </si>
  <si>
    <t>Climate Zone</t>
  </si>
  <si>
    <t>Reference City</t>
  </si>
  <si>
    <t>Eureka</t>
  </si>
  <si>
    <t>Santa Rosa</t>
  </si>
  <si>
    <t>San Francisco</t>
  </si>
  <si>
    <t>San Jose</t>
  </si>
  <si>
    <t>San Luis Obispo</t>
  </si>
  <si>
    <t>Santa Barbara</t>
  </si>
  <si>
    <t>San Diego</t>
  </si>
  <si>
    <t>Santa Ana</t>
  </si>
  <si>
    <t>Los Angeles</t>
  </si>
  <si>
    <t>Riverside</t>
  </si>
  <si>
    <t>Redding</t>
  </si>
  <si>
    <t>Sacramento</t>
  </si>
  <si>
    <t>Fresno</t>
  </si>
  <si>
    <t>Mojave</t>
  </si>
  <si>
    <t>Palm Springs</t>
  </si>
  <si>
    <t>Susanville</t>
  </si>
  <si>
    <t>1 - Table 21, 22, 23 (Fire Suppression, Plumbing, &amp; HVAC) RSMeans MasterFormat City Cost Indexes, Year 2013 National Average Base</t>
  </si>
  <si>
    <t>2 - 2010-2012 Standard Program Tracking Data (all in-scope deemed HVAC claims)</t>
  </si>
  <si>
    <t>CA to MD</t>
  </si>
  <si>
    <t>When used in doccument</t>
  </si>
  <si>
    <t xml:space="preserve">When labor represents the california average </t>
  </si>
  <si>
    <t>2013-2017</t>
  </si>
  <si>
    <t xml:space="preserve">&lt;- Used for Itron MCS  Inflation Adjustment </t>
  </si>
  <si>
    <t>National to MD wieghted Avg</t>
  </si>
  <si>
    <t>HVAC Labor Adjustment  Factors</t>
  </si>
  <si>
    <t>MidA Source: Omnidirectional and directional costs based on NEEP 2014-2015 Residential Lighting Strategy Update. Decorative Costs under 15W based on typical costs on 1000bulbs.com. Higher wattage decorative based on VEIC study of units rebated through Efficiency Vermont Retail program.</t>
  </si>
  <si>
    <t>Table G-2:  Statewide RSMeans Cost Indices Weighted by 2010-2012 Lighting Measure Claims</t>
  </si>
  <si>
    <t>1 - Table 26, 27, 3370 (Electrical, Communications, &amp; Utilities) RSMeans MasterFormat City Cost Indexes, Year 2013 National Average Base</t>
  </si>
  <si>
    <t>2 - 2010-2012 Standard Program Tracking Data (all in-scope deemed nonresidential lighting claims)</t>
  </si>
  <si>
    <t>Lighting Labor Adjustment  Factors</t>
  </si>
  <si>
    <t>(1) 48in T12 Linear Fluorescent</t>
  </si>
  <si>
    <t xml:space="preserve">(1) 48in Medium Temp Reach-in Display Cases Canopy LED </t>
  </si>
  <si>
    <t>(1) 72in T12 Linear Fluorescent</t>
  </si>
  <si>
    <t xml:space="preserve">(1) 72in Retrofits in Low Temp Reach-in Display Cases LED </t>
  </si>
  <si>
    <t>(2) 48in T12 Linear Fluorescent</t>
  </si>
  <si>
    <t>(1) 48in Medium Temp Reach-in Display Cases Canopy LED</t>
  </si>
  <si>
    <t>(1) 60in T12 Linear Fluorescent</t>
  </si>
  <si>
    <t xml:space="preserve">(1) 60in Retrofits in Medium Temp Reach-in Display Cases LED </t>
  </si>
  <si>
    <t>(1) 60in T8 Linear Fluorescent</t>
  </si>
  <si>
    <t>(1) 72in Retrofits in Medium Temp Reach-in Display Cases LED</t>
  </si>
  <si>
    <t>(1) 60in Retrofits in Low Temp Reach-in Display Cases LED</t>
  </si>
  <si>
    <t>(1) 36in T8 Linear Fluorescent</t>
  </si>
  <si>
    <t xml:space="preserve">(1) 36in Medium Temp Reach-in Display Cases Shelf LED </t>
  </si>
  <si>
    <t xml:space="preserve">(1) 60in Retrofits in Low Temp Reach-in Display Cases LED </t>
  </si>
  <si>
    <t>(1) 36in T12 Linear Fluorescent</t>
  </si>
  <si>
    <t>(1) 36in Medium Temp Reach-in Display Cases Shelf LED</t>
  </si>
  <si>
    <t>(2) 36in T8 Linear Fluorescent</t>
  </si>
  <si>
    <t xml:space="preserve">(1) 36in Medium Temp Reach-in Display Cases Canopy LED </t>
  </si>
  <si>
    <t>(2) 36in T12 Linear Fluorescent</t>
  </si>
  <si>
    <t>(1) 36in Medium Temp Reach-in Display Cases Canopy LED</t>
  </si>
  <si>
    <t xml:space="preserve">(1) 48in T8 Linear Fluorescent </t>
  </si>
  <si>
    <t>(1) 48in Medium Temp Reach-in Display Cases Shelf LED</t>
  </si>
  <si>
    <t xml:space="preserve">(1) 48in Medium Temp Reach-in Display Cases Shelf LED </t>
  </si>
  <si>
    <t xml:space="preserve">(2) 48in T8 Linear Fluorescent </t>
  </si>
  <si>
    <t>StdCostDesc</t>
  </si>
  <si>
    <t>MeasCostDesc</t>
  </si>
  <si>
    <t>Linear Foot of T12HO Fluorescent Case Lamp with ballast, multiple lamp profile</t>
  </si>
  <si>
    <t>LC03, LC07, LC11, LC15</t>
  </si>
  <si>
    <t>Linear Foot of T8 Fluorescent Case Lamp with ballast, multiple lamp profile</t>
  </si>
  <si>
    <t>LC01, LC05, LC09, LC13</t>
  </si>
  <si>
    <t>Linear Foot of T12HO Fluorescent Case Lamp with ballast, single lamp profile</t>
  </si>
  <si>
    <t>LB05, LB09, LB13</t>
  </si>
  <si>
    <t>Linear Foot of T8 Fluorescent Case Lamp with ballast, single lamp profile</t>
  </si>
  <si>
    <t xml:space="preserve">LB03, LB07, LB11, </t>
  </si>
  <si>
    <t>Measure Eqpt Cost</t>
  </si>
  <si>
    <t>PGE</t>
  </si>
  <si>
    <t>LED Exit Sign</t>
  </si>
  <si>
    <t>LED Refrigerated Case Lighting</t>
  </si>
  <si>
    <t>LT-49807</t>
  </si>
  <si>
    <t>LT-35653</t>
  </si>
  <si>
    <t>LT-89912</t>
  </si>
  <si>
    <t>LT-70912</t>
  </si>
  <si>
    <t>Up to 17 Watt Exterior PAR38 (Common Area) LED replacing LED Base Case Total Watts = 3.81 x Msr Watts</t>
  </si>
  <si>
    <t>Up to 17 Watt Exterior PAR38 (Dwelling Area) LED replacing LED Base Case Total Watts = 3.81 x Msr Watts</t>
  </si>
  <si>
    <t>Up to 25 Watt Exterior PAR38 (Common Area) LED replacing LED Base Case Total Watts = 3.81 x Msr Watts</t>
  </si>
  <si>
    <t>Up to 25 Watt Exterior PAR38 (Dwelling Area) LED replacing LED Base Case Total Watts = 3.81 x Msr Watts</t>
  </si>
  <si>
    <t>Source:  Work Paper SCE13LG109.  Exterior LED Lamp Replacement.  Revision # 1. 11/30/2015</t>
  </si>
  <si>
    <t>2016-2017</t>
  </si>
  <si>
    <t>&lt;- Used for CA IOU workpapers</t>
  </si>
  <si>
    <t>IMC 2017 $</t>
  </si>
  <si>
    <t>IMC (2017$)</t>
  </si>
  <si>
    <t>Min. Watts
Reduced</t>
  </si>
  <si>
    <t>Reported Efficacy (lm/W)</t>
  </si>
  <si>
    <t>Incentive/ Unit</t>
  </si>
  <si>
    <t>New LED linear recessed troffer/panel for 2x2, 1x4, and 2x4 luminaires (2x4 when replacing existing luminaires containing 2 lamps)</t>
  </si>
  <si>
    <t>$50/Fixture</t>
  </si>
  <si>
    <t>New LED linear recessed troffer/panel for 2x4 luminaires when replacing existing fixtures containing 3 or more lamps</t>
  </si>
  <si>
    <t>$80/Fixture</t>
  </si>
  <si>
    <t>New LED linear ambient luminaire</t>
  </si>
  <si>
    <t>5 (per foot)</t>
  </si>
  <si>
    <t>$12/Foot</t>
  </si>
  <si>
    <t>New LED stairwell luminaire</t>
  </si>
  <si>
    <t>New LED wall wash luminaire</t>
  </si>
  <si>
    <t>10 (per foot)</t>
  </si>
  <si>
    <t>$15/Foot</t>
  </si>
  <si>
    <t>New LED track/mono-point luminaire</t>
  </si>
  <si>
    <t>$25/Head</t>
  </si>
  <si>
    <t>New LED display case luminaire</t>
  </si>
  <si>
    <t>$20/Fixture</t>
  </si>
  <si>
    <t>New LED display case luminaire installed in reach-in coolers/freezers</t>
  </si>
  <si>
    <t>$30/Fixture</t>
  </si>
  <si>
    <t>New LED high/low bay luminaire -  
DLC reported lumens between 5,000lm - 9,999lm</t>
  </si>
  <si>
    <t>$100/Fixture</t>
  </si>
  <si>
    <t>New LED high/low bay luminaire -  
DLC reported lumens between 10,000lm - 19,999lm</t>
  </si>
  <si>
    <t>$150/Fixture</t>
  </si>
  <si>
    <t>New LED high/low bay luminaire -  
DLC reported lumens between 20,000lm - 29,999lm</t>
  </si>
  <si>
    <t>$200/Fixture</t>
  </si>
  <si>
    <t>New LED high/low bay luminaire -  
DLC reported lumens between 30,000lm or more</t>
  </si>
  <si>
    <t>$300/Fixture</t>
  </si>
  <si>
    <t>$60/Fixture</t>
  </si>
  <si>
    <t>New LED exterior luminaire – 
DLC reported lumens between 5,000lm - 9,999lm</t>
  </si>
  <si>
    <t>New LED exterior luminaire – 
DLC reported lumens between 10,000lm - 19,999lm</t>
  </si>
  <si>
    <t xml:space="preserve">$200/Fixture </t>
  </si>
  <si>
    <t>New LED exterior luminaire – 
DLC reported lumens between 20,000lm - 29,999lm</t>
  </si>
  <si>
    <t>$275/Fixture</t>
  </si>
  <si>
    <t xml:space="preserve">
New LED exterior luminaire – 
DLC reported lumens between 30,000 lm or more</t>
  </si>
  <si>
    <t>$375/Fixture</t>
  </si>
  <si>
    <t>LED linear retrofit kit for 2x2, 1x4 and 2x4 fixtures (2x4 when replacing existing fixtures containing 1 or 2 lamps)</t>
  </si>
  <si>
    <t>$10/Fixture</t>
  </si>
  <si>
    <t>LED linear retrofit kit for 2x4 fixtures when replacing existing fixtures containing 3 or more lamps</t>
  </si>
  <si>
    <t>$15/Fixture</t>
  </si>
  <si>
    <t>LED integrated retrofit kit for 2x2, 1x4 and 2x4 fixtures (2x4 when replacing existing fixtures containing 2 lamps)</t>
  </si>
  <si>
    <t xml:space="preserve">$40/Fixture </t>
  </si>
  <si>
    <t>LED integrated retrofit kit for 2x4 fixtures when replacing existing fixtures containing 3 or more lamps</t>
  </si>
  <si>
    <t xml:space="preserve">$60/Fixture </t>
  </si>
  <si>
    <t>LED retrofit kit for linear ambient luminaire</t>
  </si>
  <si>
    <t>$2/Foot</t>
  </si>
  <si>
    <t>LED retrofit kit for high/low bay luminaire</t>
  </si>
  <si>
    <t>LED retrofit kit for exterior luminaire</t>
  </si>
  <si>
    <t xml:space="preserve">Installation of a Type C LED linear lamp and new LED driver </t>
  </si>
  <si>
    <t>$4/Lamp</t>
  </si>
  <si>
    <t xml:space="preserve">Installation of a Type C LED mogul screw-based replacement for an HID lamp and new external driver </t>
  </si>
  <si>
    <t>$20/Lamp</t>
  </si>
  <si>
    <t>New ENERGY STAR fixture</t>
  </si>
  <si>
    <t>New ENERGY STAR LED High Output fixture – ENERGY STAR Rated Lumens 5,000lm or greater</t>
  </si>
  <si>
    <t>$75/Fixture</t>
  </si>
  <si>
    <t>2015-2017</t>
  </si>
  <si>
    <t>2014-2017</t>
  </si>
  <si>
    <t xml:space="preserve">&lt;- Used for RTF </t>
  </si>
  <si>
    <t xml:space="preserve">Note: 2017 cost values use  the last revision date as the basyyear for inflation adjustment for CA Workpapers </t>
  </si>
  <si>
    <t>When average  RS means has been applied and results represent the national average</t>
  </si>
  <si>
    <t xml:space="preserve">When labor represents the California average </t>
  </si>
  <si>
    <t>When  average RS means has been applied and results represent the national average</t>
  </si>
  <si>
    <t>Large discrepancy between MidA Term and CA Workpapers, as far as IMC.  CA workpaper IMC is around $25, while MidA TRM is $150-245</t>
  </si>
  <si>
    <t>LED Linear Luminaires and Retrofit Kits - Comm</t>
  </si>
  <si>
    <t xml:space="preserve">New LED display case luminaire </t>
  </si>
  <si>
    <t>Energy Star Fixtures</t>
  </si>
  <si>
    <t>CA_IOU_LED Measure ID</t>
  </si>
  <si>
    <t>CA_IOU_LED Measure Description</t>
  </si>
  <si>
    <t>CA_IOU_LED Baseline Description</t>
  </si>
  <si>
    <t xml:space="preserve">BGE offers instant discounts for LED A19 lamps ($6), LED A21 lamps ($10), and LED Candelabra and Globes ($6).  They are also incentivized as part of other Commercial programs. </t>
  </si>
  <si>
    <t xml:space="preserve">Retrofit Measure </t>
  </si>
  <si>
    <t>New LED exterior luminaire – 
DLC reported lumens 4,999lm or less</t>
  </si>
  <si>
    <t>Specific Measure Description</t>
  </si>
  <si>
    <t xml:space="preserve">Population </t>
  </si>
  <si>
    <t>LED Globes</t>
  </si>
  <si>
    <t>L0335</t>
  </si>
  <si>
    <t>L0336</t>
  </si>
  <si>
    <t>100% Incandescent for LED TechID: LED-Glb(2w) &amp; LED-Glb(3w)</t>
  </si>
  <si>
    <t>LED BR/R Lamps</t>
  </si>
  <si>
    <t>L1070</t>
  </si>
  <si>
    <t>L1072</t>
  </si>
  <si>
    <t>L1073</t>
  </si>
  <si>
    <t>Base case cost for mix of 75% Incandescent and 25% CFL lamps for LED TechID: LED-RefR(6w)</t>
  </si>
  <si>
    <t>LED globe:  ≥2 to &lt;3 Watts (based on 2W)</t>
  </si>
  <si>
    <t>LED globe:  ≥3 to ≤10 Watts (based on 3 W)</t>
  </si>
  <si>
    <t>LED R-BR:  &lt;11 Watts (based on 6W)</t>
  </si>
  <si>
    <t>LED R-BR:  11 to &lt;14 Watts (based on 11W)</t>
  </si>
  <si>
    <t>LED R-BR: 14 to ≤22 Watts (based on 14W)</t>
  </si>
  <si>
    <t>LED PAR20:  ≤11 Watts</t>
  </si>
  <si>
    <t>LED PAR38: 16 to &lt;17 Watts</t>
  </si>
  <si>
    <t>LED PAR38: 17 to &lt;18 Watts</t>
  </si>
  <si>
    <t>LED PAR38: 18 to &lt;19 Watts</t>
  </si>
  <si>
    <t>LED PAR38: 19 to &lt;20 Watts</t>
  </si>
  <si>
    <t>Base case cost for mix of 75% Incandescent and 25% CFL lamps</t>
  </si>
  <si>
    <t>100% Incandescent</t>
  </si>
  <si>
    <t>Source:  Work Paper PGECOLTG141.  LED PAR Lamps. Revision 6.  01/01/2016</t>
  </si>
  <si>
    <t>See CA_IOU_ScrewBasedLED</t>
  </si>
  <si>
    <t>LT007</t>
  </si>
  <si>
    <t>LED Outdoor Area Lighting - Install 501-750 W Fixture</t>
  </si>
  <si>
    <t>LT008</t>
  </si>
  <si>
    <t>LED Outdoor Area Lighting - Install 266-500 W Fixture</t>
  </si>
  <si>
    <t>LT009</t>
  </si>
  <si>
    <t>LED Outdoor Area Lighting - Install 226-265 W Fixture</t>
  </si>
  <si>
    <t>LT010</t>
  </si>
  <si>
    <t>LED Outdoor Area Lighting - Install 193-225 W Fixture</t>
  </si>
  <si>
    <t>LT011</t>
  </si>
  <si>
    <t>LED Outdoor Area Lighting - Install 151-192 W Fixture</t>
  </si>
  <si>
    <t>LT012</t>
  </si>
  <si>
    <t>LED Outdoor Area Lighting - Install 111-150 W Fixture</t>
  </si>
  <si>
    <t>LT013</t>
  </si>
  <si>
    <t>LED Outdoor Area Lighting - Install 71-110 W Fixture</t>
  </si>
  <si>
    <t>LT014</t>
  </si>
  <si>
    <t>LED Outdoor Area Lighting - Install 51-70 W Fixture</t>
  </si>
  <si>
    <t>LT015</t>
  </si>
  <si>
    <t>LED Outdoor Area Lighting - Install 0-50 W Fixture</t>
  </si>
  <si>
    <t>LT018</t>
  </si>
  <si>
    <t>LED Street Lighting - Install 226-265 W Fixture</t>
  </si>
  <si>
    <t>LT019</t>
  </si>
  <si>
    <t>LED Street Lighting - Install 193-225 W Fixture</t>
  </si>
  <si>
    <t>LT020</t>
  </si>
  <si>
    <t>LED Street Lighting - Install 151-192 W Fixture</t>
  </si>
  <si>
    <t>LT021</t>
  </si>
  <si>
    <t>LED Street Lighting - Install 111-150 W Fixture</t>
  </si>
  <si>
    <t>LT022</t>
  </si>
  <si>
    <t>LED Street Lighting - Install 71-110 W Fixture</t>
  </si>
  <si>
    <t>LT023</t>
  </si>
  <si>
    <t>LED Street Lighting - Install 51-70 W Fixture</t>
  </si>
  <si>
    <t>LT024</t>
  </si>
  <si>
    <t>LED Street Lighting - Install 0-50 W Fixture</t>
  </si>
  <si>
    <t>LT067</t>
  </si>
  <si>
    <t>LS1 LED Street Lighting - Install 226-265 W Fixture</t>
  </si>
  <si>
    <t>LT068</t>
  </si>
  <si>
    <t>LS1 LED Street Lighting - Install 193-225 W Fixture</t>
  </si>
  <si>
    <t>LT069</t>
  </si>
  <si>
    <t>LS1 LED Street Lighting - Install 151-192 W Fixture</t>
  </si>
  <si>
    <t>LT070</t>
  </si>
  <si>
    <t>LS1 LED Street Lighting - Install 111-150 W Fixture</t>
  </si>
  <si>
    <t>LT071</t>
  </si>
  <si>
    <t>LS1 LED Street Lighting - Install 71-110 W Fixture</t>
  </si>
  <si>
    <t>LT072</t>
  </si>
  <si>
    <t>LS1 LED Street Lighting - Install 51-70 W Fixture</t>
  </si>
  <si>
    <t>LT073</t>
  </si>
  <si>
    <t>LS1 LED Street Lighting - Install 0-50 W Fixture</t>
  </si>
  <si>
    <t>HIDFixt-PSMH-1000w-Ext(1080w)</t>
  </si>
  <si>
    <t>HIDFixt-PSMH-750w-Ext(818w)</t>
  </si>
  <si>
    <t>HIDFixt-HPS-400w-Ext(465w)</t>
  </si>
  <si>
    <t>HIDFixt-HPS-310w-Ext(365w)</t>
  </si>
  <si>
    <t>HIDFixt-HPS-250w-Ext(295w)</t>
  </si>
  <si>
    <t>HIDFixt-HPS-200w-Ext(250w)</t>
  </si>
  <si>
    <t>HIDFixt-HPS-150w-Ext(188w)</t>
  </si>
  <si>
    <t>HIDFixt-HPS-100w-Ext(138w)</t>
  </si>
  <si>
    <t>HIDFixt-HPS-70w-Ext(95w)</t>
  </si>
  <si>
    <t>LED A-Lamps</t>
  </si>
  <si>
    <t>40%Hal/60%CFL</t>
  </si>
  <si>
    <t>LT074</t>
  </si>
  <si>
    <t>≤5-Watt LED A-Lamp 310-749 Lumens</t>
  </si>
  <si>
    <t>LT075</t>
  </si>
  <si>
    <t>6-Watt LED A-Lamp 310-749 Lumens</t>
  </si>
  <si>
    <t>LT076</t>
  </si>
  <si>
    <t>7-Watt LED A-Lamp 310-749 Lumens</t>
  </si>
  <si>
    <t>LT077</t>
  </si>
  <si>
    <t>8-Watt LED A-Lamp 310-749 Lumens</t>
  </si>
  <si>
    <t>LT078</t>
  </si>
  <si>
    <t>9-Watt LED A-Lamp 310-749 Lumens</t>
  </si>
  <si>
    <t>LT079</t>
  </si>
  <si>
    <t>10-Watt LED A-Lamp 310-749 Lumens</t>
  </si>
  <si>
    <t>LT080</t>
  </si>
  <si>
    <t>7-Watt LED A-Lamp 750-1049 Lumens</t>
  </si>
  <si>
    <t>LT081</t>
  </si>
  <si>
    <t>8-Watt LED A-Lamp 750-1049 Lumens</t>
  </si>
  <si>
    <t>LT082</t>
  </si>
  <si>
    <t>9-Watt LED A-Lamp 750-1049 Lumens</t>
  </si>
  <si>
    <t>LT083</t>
  </si>
  <si>
    <t>10-Watt LED A-Lamp 750-1049 Lumens</t>
  </si>
  <si>
    <t>LT084</t>
  </si>
  <si>
    <t>11-Watt LED A-Lamp 750-1049 Lumens</t>
  </si>
  <si>
    <t>LT085</t>
  </si>
  <si>
    <t>12-Watt LED A-Lamp 750-1049 Lumens</t>
  </si>
  <si>
    <t>LT086</t>
  </si>
  <si>
    <t>13-Watt LED A-Lamp 750-1049 Lumens</t>
  </si>
  <si>
    <t>LT087</t>
  </si>
  <si>
    <t>14-Watt LED A-Lamp 750-1049 Lumens</t>
  </si>
  <si>
    <t>LT088</t>
  </si>
  <si>
    <t>15-Watt LED A-Lamp 750-1049 Lumens</t>
  </si>
  <si>
    <t>LT089</t>
  </si>
  <si>
    <t>10-Watt LED A-Lamp 1050-1489 Lumens</t>
  </si>
  <si>
    <t>LT090</t>
  </si>
  <si>
    <t>11-Watt LED A-Lamp 1050-1489 Lumens</t>
  </si>
  <si>
    <t>LT091</t>
  </si>
  <si>
    <t>12-Watt LED A-Lamp 1050-1489 Lumens</t>
  </si>
  <si>
    <t>LT092</t>
  </si>
  <si>
    <t>13-Watt LED A-Lamp 1050-1489 Lumens</t>
  </si>
  <si>
    <t>LT093</t>
  </si>
  <si>
    <t>14-Watt LED A-Lamp 1050-1489 Lumens</t>
  </si>
  <si>
    <t>LT094</t>
  </si>
  <si>
    <t>15-Watt LED A-Lamp 1050-1489 Lumens</t>
  </si>
  <si>
    <t>LT095</t>
  </si>
  <si>
    <t>16-Watt LED A-Lamp 1050-1489 Lumens</t>
  </si>
  <si>
    <t>LT096</t>
  </si>
  <si>
    <t>17-Watt LED A-Lamp 1050-1489 Lumens</t>
  </si>
  <si>
    <t>LT097</t>
  </si>
  <si>
    <t>14-Watt LED A-Lamp 1490-2600 Lumens</t>
  </si>
  <si>
    <t>LT098</t>
  </si>
  <si>
    <t>15-Watt LED A-Lamp 1490-2600 Lumens</t>
  </si>
  <si>
    <t>LT099</t>
  </si>
  <si>
    <t>16-Watt LED A-Lamp 1490-2600 Lumens</t>
  </si>
  <si>
    <t>LT100</t>
  </si>
  <si>
    <t>17-Watt LED A-Lamp 1490-2600 Lumens</t>
  </si>
  <si>
    <t>LT101</t>
  </si>
  <si>
    <t>18-Watt LED A-Lamp 1490-2600 Lumens</t>
  </si>
  <si>
    <t>LT102</t>
  </si>
  <si>
    <t>19-Watt LED A-Lamp 1490-2600 Lumens</t>
  </si>
  <si>
    <t>LT103</t>
  </si>
  <si>
    <t>20-Watt LED A-Lamp 1490-2600 Lumens</t>
  </si>
  <si>
    <t>LT104</t>
  </si>
  <si>
    <t>23-Watt LED A-Lamp 1490-2600 Lumens</t>
  </si>
  <si>
    <t>Source:  Work Paper PGECOLTG177.  LED BR-R Lamps. Revision 4.  2017</t>
  </si>
  <si>
    <t>Source:  Work Paper PGECOLTG151.  LED Outdoor Street and Area Lighting. Revision 7. 2017</t>
  </si>
  <si>
    <t>Source: Work Paper PGECOLTG165 LED A-Lamps. Revision 3. 2017</t>
  </si>
  <si>
    <t>Source: Work Paper PGECOLTG164 LED Globe Lamps R5. 2017</t>
  </si>
  <si>
    <t>LD101</t>
  </si>
  <si>
    <t>LED High/Low Bay:  40 to 131 watts, replacing 175W PS-MH</t>
  </si>
  <si>
    <t>Pulse-Start MH 175</t>
  </si>
  <si>
    <t>LD102</t>
  </si>
  <si>
    <t>LED High/Low Bay:  &gt;131 to 160 watts, replacing 200W PS-MH</t>
  </si>
  <si>
    <t>Pulse-Start MH 200</t>
  </si>
  <si>
    <t>LD103</t>
  </si>
  <si>
    <t>LED High/Low Bay:  &gt;160 to 187 watts, replacing 250 W PS-MH</t>
  </si>
  <si>
    <t>Pulse-Start MH 250</t>
  </si>
  <si>
    <t>LD104</t>
  </si>
  <si>
    <t>LED High/Low Bay:  &gt;187 to 220 watts, replacing 320W PS-MH</t>
  </si>
  <si>
    <t>Pulse-Start MH 320</t>
  </si>
  <si>
    <t>LD105</t>
  </si>
  <si>
    <t>LED High/Low Bay:  &gt;220 to 262 watts, replacing 350W PS-MH</t>
  </si>
  <si>
    <t>Pulse-Start MH 350</t>
  </si>
  <si>
    <t>LD106</t>
  </si>
  <si>
    <t>LED High/Low Bay:  &gt;262 to 280 watts, replacing 400W PS-MH</t>
  </si>
  <si>
    <t>Pulse-Start MH 400</t>
  </si>
  <si>
    <t>LD107</t>
  </si>
  <si>
    <t>LED High/Low Bay:  &gt;280 to 320 watts, replacing 450W PS-MH</t>
  </si>
  <si>
    <t>Pulse-Start MH 450</t>
  </si>
  <si>
    <t>LD108</t>
  </si>
  <si>
    <t>LED High/Low Bay:  &gt;320 to 500 watts, replacing 750W PS-MH</t>
  </si>
  <si>
    <t>Pulse-Start MH 750</t>
  </si>
  <si>
    <t>LD109</t>
  </si>
  <si>
    <t>LED High/Low Bay:  &gt; 500 to 750 watts, replacing 1000W PS-MH</t>
  </si>
  <si>
    <t>Pulse-Start MH 1000</t>
  </si>
  <si>
    <t>LD111</t>
  </si>
  <si>
    <t>LED High/Low Bay:  40 to 131 watts, Replacing T8 Fluorescent 2nd generation 4L VHLO</t>
  </si>
  <si>
    <t>T8 Linear Fluorescent 2nd generation 4L VHLO</t>
  </si>
  <si>
    <t>LD112</t>
  </si>
  <si>
    <t>LED High/Low Bay:  &gt;131 to 160 watts, Replacing T8 Fluorescent 2nd generation 6L VHLO</t>
  </si>
  <si>
    <t>T8 Linear Fluorescent 2nd generation 6L VHLO</t>
  </si>
  <si>
    <t>LD113</t>
  </si>
  <si>
    <t>LED High/Low Bay:  &gt;160 to 220 watts, Replacing T8 Fluorescent 2nd generation 8L VHLO</t>
  </si>
  <si>
    <t>T8 Linear Fluorescent 2nd generation 8L VHLO</t>
  </si>
  <si>
    <t xml:space="preserve">Base Case system wattage </t>
  </si>
  <si>
    <t>Minimum Fixture Lumens</t>
  </si>
  <si>
    <t>LED minimum wattage</t>
  </si>
  <si>
    <t>&gt; 131</t>
  </si>
  <si>
    <t>&gt; 160</t>
  </si>
  <si>
    <t>&gt; 187</t>
  </si>
  <si>
    <t>&gt; 220</t>
  </si>
  <si>
    <t>&gt; 262</t>
  </si>
  <si>
    <t>&gt; 280</t>
  </si>
  <si>
    <t>&gt; 320</t>
  </si>
  <si>
    <t>&gt; 500</t>
  </si>
  <si>
    <t>LED Maximum wattage</t>
  </si>
  <si>
    <t xml:space="preserve">BGE offers $7 instant discounts for LED BR (20/30/40) lamps  and LED R (20/30/40) lamps; $8 discounts for LED MR16 lamps; </t>
  </si>
  <si>
    <t>$9 discounts for LED PAR20; $12 for LED PAR 30 lamps; and $15 for LED PAR 38 lamps.</t>
  </si>
  <si>
    <t>LED Parking Garage/Canopy Luminaires and Retrofit Kits</t>
  </si>
  <si>
    <t>LED Outdoor Pole/Arm- or Wall-Mounted Area and Roadway Lighting Luminaires and Retrofit Kits</t>
  </si>
  <si>
    <t>LT-20785
LT-35334
LT-55561</t>
  </si>
  <si>
    <t>175 Watt Pulse Start Metal Halide
(4) 48in T8 VHLO
175 Watt Metal Halide</t>
  </si>
  <si>
    <t>40 to 262 Watt High/Low Bay LED</t>
  </si>
  <si>
    <t>175 -350 Watt Pulse Start Metal Halide
(4 to 8) 48in T8 VHLO
175 -400 Watt Metal Halide</t>
  </si>
  <si>
    <t>LT-20785
LT-35334
LT-55561
LT-47551
LT-79060
LT-86205
LT-71583
LT-97550
LT-54307
LT-68154
LT-70713
LT-36878
LT-99280</t>
  </si>
  <si>
    <t>LT-20785
LT-35334
LT-55561
LT-47551
LT-79060
LT-86205
LT-71583
LT-97550
LT-54307
LT-68154
LT-70713
LT-36878
LT-99280
LT-28599
LT-79419
LT-63775</t>
  </si>
  <si>
    <t>40 to 320 Watt High/Low Bay LED</t>
  </si>
  <si>
    <t>175 -450 Watt Pulse Start Metal Halide
(4 to 8) 48in T8 VHLO
175 -450 Watt Metal Halide</t>
  </si>
  <si>
    <t>LT-36878
LT-70713
LT-28599
LT-79419
LT-22805
LT-68702
LT-54307
LT-86205
LT-79060
LT-63775
LT-96353
LT-98618</t>
  </si>
  <si>
    <t>187 to 750 Watt High/Low Bay LED</t>
  </si>
  <si>
    <t>320 -1000 Watt Pulse Start Metal Halide
(8) 48in T8 VHLO
350 - 1000 Watt Metal Halide</t>
  </si>
  <si>
    <t>LT-20785
LT-35334
LT-55561
LT-47551
LT-79060
LT-86205
LT-71583
LT-97550
LT-54307
LT-68154
LT-70713
LT-36878
LT-99280
LT-28599
LT-79419
LT-63775
LT-22805
LT-96353</t>
  </si>
  <si>
    <t>40 to 500 Watt High/Low Bay LED</t>
  </si>
  <si>
    <t>175 -750 Watt Pulse Start Metal Halide
(4 to 8) 48in T8 VHLO
175 -750 Watt Metal Halide</t>
  </si>
  <si>
    <t>LT015
LT014</t>
  </si>
  <si>
    <t>LED Outdoor Area Lighting - Install 0-70 W Fixture</t>
  </si>
  <si>
    <t>HIDFixt-HPS-70w-Ext(95w)
HIDFixt-HPS-100w-Ext(138w)</t>
  </si>
  <si>
    <t>LT015
LT014
LT013</t>
  </si>
  <si>
    <t>LED Outdoor Area Lighting - Install 0-110 W Fixture</t>
  </si>
  <si>
    <t>HIDFixt-HPS-70w-Ext(95w)
HIDFixt-HPS-100w-Ext(138w)
HIDFixt-HPS-150w-Ext(188w)</t>
  </si>
  <si>
    <t>LT013
LT012
LT011</t>
  </si>
  <si>
    <t>LED Outdoor Area Lighting - Install 71-192 W Fixture</t>
  </si>
  <si>
    <t>HIDFixt-HPS-150w-Ext(188w)
HIDFixt-HPS-200w-Ext(250w)
HIDFixt-HPS-250w-Ext(295w)</t>
  </si>
  <si>
    <t>LT011
LT010
LT009</t>
  </si>
  <si>
    <t>LED Outdoor Area Lighting - Install 151-265 W Fixture</t>
  </si>
  <si>
    <t>HIDFixt-HPS-400w-Ext(465w)
HIDFixt-HPS-310w-Ext(365w)
HIDFixt-HPS-250w-Ext(295w)</t>
  </si>
  <si>
    <t>LT015
LT014
LT013
LT012</t>
  </si>
  <si>
    <t>LED Outdoor Area Lighting - Install 0-150 W Fixture</t>
  </si>
  <si>
    <t>HIDFixt-HPS-70w-Ext(95w)
HIDFixt-HPS-100w-Ext(138w)
HIDFixt-HPS-150w-Ext(188w)
HIDFixt-HPS-200w-Ext(250w)</t>
  </si>
  <si>
    <t>LED Street Lighting - Install 0-192 W Fixture
LS1 LED Street Lighting - Install 0-192 W Fixture</t>
  </si>
  <si>
    <t>LT018 - LT024
LT067 - LT073</t>
  </si>
  <si>
    <t>LED Street Lighting - Install (ALL WATTAGES)
LS1 LED Street Lighting - Install (ALL WATTAGES)</t>
  </si>
  <si>
    <t>HIDFixt-HPS-70w-Ext(95w)
HIDFixt-HPS-100w-Ext(138w)
HIDFixt-HPS-150w-Ext(188w)
HIDFixt-HPS-200w-Ext(250w)
HIDFixt-HPS-250w-Ext(295w)
HIDFixt-HPS-310w-Ext(365w)
HIDFixt-HPS-400w-Ext(465w)</t>
  </si>
  <si>
    <t>LT042
LT046
LT050</t>
  </si>
  <si>
    <t>1x4, 2x2, 2'x4' LED new Luminaire; rated ≥110 and &lt;125 LPW, Ambient Interior Commercial Spaces</t>
  </si>
  <si>
    <t>LT054
LT058
LT062</t>
  </si>
  <si>
    <t>1x4, 2x2, 2'x4' LED Integrated retrofit kit; rated ≥110 and &lt;125 LPW, Ambient Interior Commercial Spaces</t>
  </si>
  <si>
    <t>Section 4. Base Case &amp; Measure Costs</t>
  </si>
  <si>
    <t>DEER 2016 does not have measure cost data for LED fixtures.</t>
  </si>
  <si>
    <t>4.1 Base Case Costs</t>
  </si>
  <si>
    <t xml:space="preserve">It is assumed the labor cost of replacing the measure case fixture would be the same as the base case fixture. The base case and measure case costs include just equipment costs.  The base case costs are taken from distributor catalogs and websites and confirmed with manufacturer representatives where possible. </t>
  </si>
  <si>
    <t>Table 7 – LED Ambient Commercial Fixtures &amp; Retrofit Kits Base Case Cost Table</t>
  </si>
  <si>
    <t>Base Case Equipment Cost</t>
  </si>
  <si>
    <t xml:space="preserve">All LED Luminaires/Retrofit Kits Measures for Ambient Interior Commercial Spaces </t>
  </si>
  <si>
    <t>4.2 Measure Costs</t>
  </si>
  <si>
    <t>The measure equipment costs were developed from California distributor catalogs and websites and confirmed with manufacturer representatives where possible. There are no DLC products qualified for LT063, 1x4 retrofit kits &gt; 125 LPW, so costs for this measure code are based on the new fixture costs in this shape and efficacy because retrofit kit and new luminaire prices are the same for the 2x2 and 2x4 sizes.</t>
  </si>
  <si>
    <t>Table 8 - LED Ambient Commercial Fixtures &amp; Retrofit Kits Measure Cost Table</t>
  </si>
  <si>
    <t>Measure Equipment Cost</t>
  </si>
  <si>
    <t>4.3 Incremental &amp; Full Measure Costs</t>
  </si>
  <si>
    <t>Measure Application Type</t>
  </si>
  <si>
    <t>Gross Measure Cost</t>
  </si>
  <si>
    <t>(RUL Period/First Baseline)</t>
  </si>
  <si>
    <t>(EUL-RUL Period/ Second Baseline)</t>
  </si>
  <si>
    <t>Incremental Measure Cost</t>
  </si>
  <si>
    <t>ER</t>
  </si>
  <si>
    <t xml:space="preserve">Measure Equipment Cost </t>
  </si>
  <si>
    <t>+Measure Labor Cost</t>
  </si>
  <si>
    <t>(-1)x(Base Equipment Cost</t>
  </si>
  <si>
    <t>+ Base Labor Cost)</t>
  </si>
  <si>
    <t>– Base Case Equipment Cost</t>
  </si>
  <si>
    <t>NC</t>
  </si>
  <si>
    <t>4.3.1 Full Measure Cost</t>
  </si>
  <si>
    <t>The Full Measure Cost is applicable to Direct Install programs. There is an effort on updating systems to collect actual costs from implementers, till then the following costs will be used for direct install.</t>
  </si>
  <si>
    <t>FMC = Measure Equipment Cost + Measure Labor Cost</t>
  </si>
  <si>
    <t>Measure Labor Cost[i]</t>
  </si>
  <si>
    <t>Full</t>
  </si>
  <si>
    <t xml:space="preserve"> Table 9- LED Ambient Commercial Fixtures &amp; Retrofit Kits Full Measure Cost</t>
  </si>
  <si>
    <t>4.3.2 Incremental Measure Costs</t>
  </si>
  <si>
    <t xml:space="preserve">The labor costs for measure and base cases are equivalent. </t>
  </si>
  <si>
    <t>Incremental cost (INCR) = Measure Cost – Base Case Cost</t>
  </si>
  <si>
    <t>Table 10 - LED Ambient Commercial Fixtures &amp; Retrofit Kits Incremental Cost</t>
  </si>
  <si>
    <r>
      <t>[i]</t>
    </r>
    <r>
      <rPr>
        <sz val="10"/>
        <color theme="1"/>
        <rFont val="Times New Roman"/>
        <family val="1"/>
      </rPr>
      <t xml:space="preserve"> Measure Labor Cost is product of Installation time and Labor Rate. Labor rate of $70.11 per hour taken from RS Means for PG&amp;E Territory cities. Installation time of 1.509 hours per fixture (0.39 hours per kilolumen) taken from RS Means, Interior LED Fixtures Line # 265113551000; accessed at http://www.rsmeans.com/</t>
    </r>
  </si>
  <si>
    <t>"Eligible applications include time of sale or new construction and retrofits applications....Typical baseline technologies include fluorescent T8 fixtures. For time of sale applications, the baseline condition will vary depending upon the specific characteristics of the fixtures installed (e.g. number of lamps)."</t>
  </si>
  <si>
    <t>$2016</t>
  </si>
  <si>
    <t>$2017</t>
  </si>
  <si>
    <t>Excerpted from Work Paper</t>
  </si>
  <si>
    <t>Labor</t>
  </si>
  <si>
    <t>Federal Standard Cost</t>
  </si>
  <si>
    <t>Incremental Labor Cost</t>
  </si>
  <si>
    <t>Time of Sale/New  Incremental Cost</t>
  </si>
  <si>
    <t>Initial Retrofit/Early Replacement Incremental Cost</t>
  </si>
  <si>
    <t>Lifecycle Retrofit/Early Replacement Incremental Cost</t>
  </si>
  <si>
    <t>Real Discount Rate</t>
  </si>
  <si>
    <t>PV Real Levelized Carrying Charge for Existing Furnace</t>
  </si>
  <si>
    <t>PV Real Levelized Carrying Charge for New Furnace</t>
  </si>
  <si>
    <t>EUL</t>
  </si>
  <si>
    <t>RUL</t>
  </si>
  <si>
    <t>Incremental cost of early replace w/ standard equipment</t>
  </si>
  <si>
    <t>Average New</t>
  </si>
  <si>
    <t>Average Retrofit</t>
  </si>
  <si>
    <t>Lifecycle Retrofit/Early Replacement Incremental Cost Calculator</t>
  </si>
  <si>
    <t xml:space="preserve">Source:  Work Paper PGECOLTG179.  LED Ambient Commercial Fixtures and Retrofit Kits. Revision # 2 dated 06/01/2016.  </t>
  </si>
  <si>
    <r>
      <t xml:space="preserve">ER Cost factor </t>
    </r>
    <r>
      <rPr>
        <b/>
        <i/>
        <sz val="14"/>
        <rFont val="Calibri"/>
        <family val="2"/>
        <scheme val="minor"/>
      </rPr>
      <t>(E/H)</t>
    </r>
  </si>
  <si>
    <t>Note: 2017 cost values use  the last revision date as the basyyear for inflation adjustment for CA Workpapers</t>
  </si>
  <si>
    <t>Measure Unit Cost</t>
  </si>
  <si>
    <t>Labor Cost</t>
  </si>
  <si>
    <t>Itron Mapping</t>
  </si>
  <si>
    <t xml:space="preserve">TRM Measure </t>
  </si>
  <si>
    <t>TRM currently uses Maine TRM 2010 version.  Consider using Itron values based on California IOU Work Papers, which were developed  November 2016</t>
  </si>
  <si>
    <t>TRM currently does not provide IMC incremental costs.  Consider using Itron values based on California IOU Work Papers, which were developed  November 2016</t>
  </si>
  <si>
    <t xml:space="preserve">Labor </t>
  </si>
  <si>
    <t>Length (feet)</t>
  </si>
  <si>
    <t>Unit Cost</t>
  </si>
  <si>
    <t>The baseline equipment is assumed to be T8 or T12HO linear fluorescent lamps.  May be time of sale or retrofit.</t>
  </si>
  <si>
    <r>
      <t xml:space="preserve">ER Cost factor </t>
    </r>
    <r>
      <rPr>
        <b/>
        <i/>
        <sz val="12"/>
        <rFont val="Calibri"/>
        <family val="2"/>
        <scheme val="minor"/>
      </rPr>
      <t>(E/H)</t>
    </r>
  </si>
  <si>
    <t xml:space="preserve">Unit Cost in $2017 </t>
  </si>
  <si>
    <t>Unit Cost in $2016</t>
  </si>
  <si>
    <t>Unit Cost Lifecycle Retrofit/Early Replacement Incremental Cost Calculator</t>
  </si>
  <si>
    <t>Unti Cost Lifecycle Retrofit/Early Replacement Incremental Cost Calculator</t>
  </si>
  <si>
    <t>Cost per Linear Foot $2017</t>
  </si>
  <si>
    <t>Source Unit Cost</t>
  </si>
  <si>
    <t>Eligible applications include time of sale or new construction and retrofit applications.</t>
  </si>
  <si>
    <t>Eligible applications include time of sale or new construction luminaires and retrofit kits installed at a minimum height of 20 feet.</t>
  </si>
  <si>
    <t>Eligible applications include time of sale and new construction as  well as retrofit applications. The baseline condition is defined as an exterior flood or spot fixture with a high intensity discharge light-source. Typical baseline technologies include halogen incandescent parabolic aluminized reflector (PAR) lamps and metal halide (MH) luminaires.</t>
  </si>
  <si>
    <t>We have no data from CA workpapers or other sources to inform this measure.</t>
  </si>
  <si>
    <t>$2014</t>
  </si>
  <si>
    <t>$2015</t>
  </si>
  <si>
    <t>EUL*</t>
  </si>
  <si>
    <t>* EUL varies by building type.  For Commercial building types, the maximum EUL value is 12 years.  12 years was used here.</t>
  </si>
  <si>
    <t>See Itron_CA_IOU_OutdoorLED</t>
  </si>
  <si>
    <t>See Itron CA IOU LED Refrigerator Case Lighting</t>
  </si>
  <si>
    <t>See Itron_CA_IOU_LEDHighBay</t>
  </si>
  <si>
    <t>See Itron_CA_IOU_RcssdDwnLght_LED</t>
  </si>
  <si>
    <t>See Itron_CA_IOU_LEDFlood</t>
  </si>
  <si>
    <t xml:space="preserve">LT024
LT073
LT023
LT072
LT022
LT021
LT071
LT020
LT070
LT069
</t>
  </si>
  <si>
    <t xml:space="preserve">Itron calculations based on Work Paper PGECOLTG174 LED Refrigeration Case Lighting Revision 2. 1/1/2016
</t>
  </si>
  <si>
    <t>Itron calculations based on Work Paper SCE13LG098 Revision 4.  June 8th, 2016. (retired 12/31/2016)</t>
  </si>
  <si>
    <t xml:space="preserve">BGE Program  </t>
  </si>
  <si>
    <t>Mid-A TRM</t>
  </si>
  <si>
    <t xml:space="preserve">Design Lights Consortium Database Minimum Watts </t>
  </si>
  <si>
    <t xml:space="preserve">Design Lights Consortium Database Maximum Watts </t>
  </si>
  <si>
    <t>Federal Standard (Baseline) Cost</t>
  </si>
  <si>
    <t>Note</t>
  </si>
  <si>
    <t>BGE Measure Incremental Costs ($2017)</t>
  </si>
  <si>
    <t>Eligible applications include time of sale or new construction and retrofit applications.  The baseline condition is defined as an outdoor pole/arm- or wall-mounted luminaire with a high intensity discharge light-source. Typical baseline technologies include metal halide (MH) and high pressure sodium (HPS) lamps.</t>
  </si>
  <si>
    <t>Baselines</t>
  </si>
  <si>
    <t>See BGE_Rebate_Measure_Costs</t>
  </si>
  <si>
    <t>Mid Atlantic TRM V.6</t>
  </si>
  <si>
    <t>Incremental Costs</t>
  </si>
  <si>
    <t>Incremental Costs Sources</t>
  </si>
  <si>
    <t>Use TRM V.6 value</t>
  </si>
  <si>
    <t xml:space="preserve">BGE Incentive Categories (as of Feb 2017) </t>
  </si>
  <si>
    <t xml:space="preserve">BGE Measure Recommendations </t>
  </si>
  <si>
    <t>TRM V.7 Recommended Values</t>
  </si>
  <si>
    <t>See Itron_CA_IOU_LEDYxZLuminaires</t>
  </si>
  <si>
    <t>New refrigerated LED display case luminaire installed in reach-in coolers/freezers: $30/fixture.
See BGE_Rebate_Measure_Costs</t>
  </si>
  <si>
    <t xml:space="preserve">TRM values appear reasonable based on California Work Papers cost range range.  Consider using Itron values of $23/foot for time of sale and $31/foot for retrofit (note, these do not include a labor cost component).  If current TRM categories (vertical versus horizontal) are preferred, simply adjust current TRM values for inflation.  </t>
  </si>
  <si>
    <t>$23/foot for time of sale and $31/foot for retrofit.  If TRM V.6 categories are preferred, use: Vertical – Center @ $30/ft, Vertical – End @ $22/ft, and Horizontal @ $23/ft (these values are simply current TRM values with 3 years of inflation at 1.9%).  See Itron_CA_IOU_RefCaseLED.</t>
  </si>
  <si>
    <t>See Itron_CA_IOU_RefCaseLED.</t>
  </si>
  <si>
    <t>References</t>
  </si>
  <si>
    <t>Itron Incremental Cost Non-Regression (2017 $)</t>
  </si>
  <si>
    <t>Itron Recommendations</t>
  </si>
  <si>
    <t>Discussion</t>
  </si>
  <si>
    <t xml:space="preserve">Source:  Work Paper SCE13LG111. LED High and Low Bay Fixtures. Revision 1. 10/01/2015.  Work Paper data comes from LED Study Cost from Navigant, from 2014-2015 cost data. </t>
  </si>
  <si>
    <t xml:space="preserve">Source:  Work Paper PGECOLTG172.  LED High Bay and Low Bay Fixtures Revision 2.01/01/2016.  Work Paper data comes from LED Study Cost from Navigant, from 2014-2015 cost data.  </t>
  </si>
  <si>
    <t>LED High-Bay &amp; Low-Bay Luminaires and Retrofit Kits</t>
  </si>
  <si>
    <t>See Itron_CA_IOU_LED_High&amp;LowBay</t>
  </si>
  <si>
    <t>Commercial Screw Lamps</t>
  </si>
  <si>
    <t>Recommended ($2017)</t>
  </si>
  <si>
    <t>See Itron_CA_IOU_ScrewBasedLED</t>
  </si>
  <si>
    <t xml:space="preserve">  Consider using Itron values based on California IOU Work Papers, which were developed  2017</t>
  </si>
  <si>
    <t>Refrigerated Case Lamps - Recommended Values</t>
  </si>
  <si>
    <t xml:space="preserve">LED 1x4, 2x2, and 2x4 Luminaires and Retrofit Kits - Recommended </t>
  </si>
  <si>
    <t xml:space="preserve">TRM currently does not provide IMC incremental costs, except for illustration.  Consider using values compiled from CA IOU Workpaper adjusted for inflation -- average incremental costs for time of sale units is $20 and for early replacement is $70.  Recommended values by wattage, length and number of lamps are provided in Itron_CA_IOU_LEDYxZLuminaires.  </t>
  </si>
  <si>
    <t xml:space="preserve">$35 per unit, including $25 for equipment and $15 for labor.  </t>
  </si>
  <si>
    <t>Based on pricing at http://www.exitlightco.com/Exit_Signs and http://www.simplyexitsigns.com, with labor data from RS Means 2008.</t>
  </si>
  <si>
    <t>Incremental costs will vary greatly from project to project depending on the advanced lighting design principles and lighting technologies used. Incremental costs should be estimated on a case-by-case basis.</t>
  </si>
  <si>
    <t xml:space="preserve">LPD Baselines vary by state (I,e, code), building type and space type. </t>
  </si>
  <si>
    <t>Advanced Lighting Design</t>
  </si>
  <si>
    <t>&gt;10% below minimum code @ $0.40 per watt.  &gt;20% below minimum code @ $0.80 per watt.</t>
  </si>
  <si>
    <t xml:space="preserve">Incremental costs will vary widely.  Costs should be estimated on a case by case basis.  No change to TRM recommended. </t>
  </si>
  <si>
    <t xml:space="preserve">No incentives for LED exit signs are specificed on BGE website, but they are reportedly included in some Custom program projects. </t>
  </si>
  <si>
    <t xml:space="preserve">TRM V. 6 value ($35) is reasonable.  </t>
  </si>
  <si>
    <t>No change recommended.</t>
  </si>
  <si>
    <t>Lifecycle Retrofit/Early Replacement Incremental Cost Calculator $2017</t>
  </si>
  <si>
    <t xml:space="preserve">Lifecycle Retrofit/Early Replacement Incremental Cost Calculator </t>
  </si>
  <si>
    <t>Average Par 38</t>
  </si>
  <si>
    <t>IMCs for each of the BGE measure categories have also been calculated, and identified in the tab, "BGE_Rebate_Measure_Costs".</t>
  </si>
  <si>
    <t>Recommended Values</t>
  </si>
  <si>
    <t>High Intensity Discharge Fixture up to 250W</t>
  </si>
  <si>
    <t>High Intensity Discharge Fixture between 265 and 465 W</t>
  </si>
  <si>
    <t>High Intensity Discharge Fixture up to 200W</t>
  </si>
  <si>
    <t>High Intensity Discharge Fixture between 200 and 400 W</t>
  </si>
  <si>
    <t>High Intensity Discharge Fixture greater than 400W</t>
  </si>
  <si>
    <t>LED Fixtures up to 150 W</t>
  </si>
  <si>
    <t>LED Fixtures between 150W to 265W</t>
  </si>
  <si>
    <t>LED Fixtures greater than 265 W</t>
  </si>
  <si>
    <t>LED High Bay Fixture up to 220 W</t>
  </si>
  <si>
    <t>LED High Bay Fixture between 220 - 320 W</t>
  </si>
  <si>
    <t>LED High Bay Fixture greater than 320 W</t>
  </si>
  <si>
    <t>PSMH up to 320 W
4ft T8 VHLO
MH up to 350 W</t>
  </si>
  <si>
    <t>Possible Baseline Descriptions</t>
  </si>
  <si>
    <t>PSMH between 320-450 W
MH between 350-450 W</t>
  </si>
  <si>
    <t>PSMH greater than 450 W
MH greater than 450 W</t>
  </si>
  <si>
    <t>CA IOU Measure Code</t>
  </si>
  <si>
    <t>Solid State Lighting (LED) Recessed Downlight Luminaire</t>
  </si>
  <si>
    <t>LED R-BR Fixtures</t>
  </si>
  <si>
    <t>RECOMMEND TO UPDATE WITH RESIDENTIAL NUMBERS</t>
  </si>
  <si>
    <r>
      <rPr>
        <sz val="16"/>
        <color rgb="FF0070C0"/>
        <rFont val="Calibri"/>
        <family val="2"/>
        <scheme val="minor"/>
      </rPr>
      <t xml:space="preserve">Using APEX study for residential bulbs.  </t>
    </r>
    <r>
      <rPr>
        <sz val="16"/>
        <color theme="1"/>
        <rFont val="Calibri"/>
        <family val="2"/>
        <scheme val="minor"/>
      </rPr>
      <t>"Manufacturers and retailers indicated that for LED lamp products, volume discounts are insignificant and the pricing offered at big box retailers, such as Home Depot and Lowes, is comparable to pricing offered by distributors and other commercial channel outlets. " California LED workpaper Update Study, Navigant Consulting. August 2015.</t>
    </r>
  </si>
  <si>
    <t>LED PAR38</t>
  </si>
  <si>
    <t>LED PAR16</t>
  </si>
  <si>
    <t>LED PAR20</t>
  </si>
  <si>
    <t>LED PAR30</t>
  </si>
  <si>
    <t>Use Residential Lamp Recommendations. According to 2015 Navigant cost study sourced for California IOU Work Papers, manufacturer pricing for commercial is not significantly different than pricing through large retailers, such as Home Depot.</t>
  </si>
  <si>
    <t>Incremental Labor Cost - MD Adjusted</t>
  </si>
  <si>
    <t>Labor Cost - MD Labor Adjusted</t>
  </si>
  <si>
    <t xml:space="preserve">Incremental Labor Cost - MD Labor Adjusted </t>
  </si>
  <si>
    <t xml:space="preserve">Labor Cost - MD Labor Adjusted </t>
  </si>
  <si>
    <t xml:space="preserve">Incremental Labor Cost -MD Labor Adjusted </t>
  </si>
  <si>
    <t xml:space="preserve">Labor Cost  - MD Labor Adjusted </t>
  </si>
  <si>
    <t xml:space="preserve">Incremental Labor Cost  - MD Labor Adjusted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</si>
</sst>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m/d/\ h:mm"/>
    <numFmt numFmtId="167" formatCode="00000"/>
    <numFmt numFmtId="168" formatCode="0.0000"/>
    <numFmt numFmtId="169" formatCode="&quot;$&quot;#,##0"/>
    <numFmt numFmtId="170" formatCode="_-* #,##0.00_-;\-* #,##0.00_-;_-* &quot;-&quot;??_-;_-@_-"/>
    <numFmt numFmtId="171" formatCode="_-* #,##0_-;\-* #,##0_-;_-* &quot;-&quot;??_-;_-@_-"/>
    <numFmt numFmtId="172" formatCode="_(* #,##0.0_);_(* \(#,##0.0\);_(* &quot;-&quot;??_);_(@_)"/>
    <numFmt numFmtId="173" formatCode="_(&quot;$&quot;* #,##0_);_(&quot;$&quot;* \(#,##0\);_(&quot;$&quot;* &quot;-&quot;??_);_(@_)"/>
  </numFmts>
  <fonts count="1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Trebuchet MS"/>
      <family val="2"/>
    </font>
    <font>
      <b/>
      <sz val="10"/>
      <color theme="1"/>
      <name val="Trebuchet MS"/>
      <family val="2"/>
    </font>
    <font>
      <sz val="11"/>
      <color rgb="FF000000"/>
      <name val="Trebuchet MS"/>
      <family val="2"/>
    </font>
    <font>
      <sz val="10"/>
      <color theme="1"/>
      <name val="Trebuchet MS"/>
      <family val="2"/>
    </font>
    <font>
      <sz val="11"/>
      <name val="Calibri"/>
      <family val="2"/>
      <scheme val="minor"/>
    </font>
    <font>
      <sz val="18"/>
      <color theme="1"/>
      <name val="Calibri"/>
      <family val="2"/>
      <scheme val="minor"/>
    </font>
    <font>
      <b/>
      <sz val="9"/>
      <color indexed="81"/>
      <name val="Tahoma"/>
      <family val="2"/>
    </font>
    <font>
      <sz val="9"/>
      <color indexed="81"/>
      <name val="Tahoma"/>
      <family val="2"/>
    </font>
    <font>
      <sz val="10"/>
      <name val="Arial"/>
      <family val="2"/>
    </font>
    <font>
      <sz val="10"/>
      <name val="Arial"/>
      <family val="2"/>
    </font>
    <font>
      <b/>
      <sz val="10"/>
      <color indexed="9"/>
      <name val="Arial"/>
      <family val="2"/>
    </font>
    <font>
      <sz val="8"/>
      <color indexed="81"/>
      <name val="Tahoma"/>
      <family val="2"/>
    </font>
    <font>
      <u/>
      <sz val="10"/>
      <color indexed="12"/>
      <name val="Arial"/>
      <family val="2"/>
    </font>
    <font>
      <b/>
      <sz val="8"/>
      <color indexed="81"/>
      <name val="Tahoma"/>
      <family val="2"/>
    </font>
    <font>
      <b/>
      <sz val="10"/>
      <name val="Arial"/>
      <family val="2"/>
    </font>
    <font>
      <sz val="12"/>
      <name val="Times New Roman"/>
      <family val="1"/>
    </font>
    <font>
      <b/>
      <sz val="12"/>
      <name val="Times New Roman"/>
      <family val="1"/>
    </font>
    <font>
      <sz val="8"/>
      <name val="Arial"/>
      <family val="2"/>
    </font>
    <font>
      <sz val="11"/>
      <color indexed="8"/>
      <name val="Calibri"/>
      <family val="2"/>
    </font>
    <font>
      <b/>
      <sz val="8"/>
      <name val="Arial"/>
      <family val="2"/>
    </font>
    <font>
      <b/>
      <sz val="11"/>
      <color indexed="8"/>
      <name val="Calibri"/>
      <family val="2"/>
    </font>
    <font>
      <sz val="10"/>
      <name val="MS Sans Serif"/>
      <family val="2"/>
    </font>
    <font>
      <b/>
      <sz val="11"/>
      <color indexed="56"/>
      <name val="Calibri"/>
      <family val="2"/>
    </font>
    <font>
      <sz val="11"/>
      <color indexed="9"/>
      <name val="Calibri"/>
      <family val="2"/>
    </font>
    <font>
      <u/>
      <sz val="10"/>
      <color theme="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b/>
      <sz val="12"/>
      <color rgb="FFFFFFFF"/>
      <name val="Trebuchet MS"/>
      <family val="2"/>
    </font>
    <font>
      <u/>
      <sz val="11"/>
      <color theme="10"/>
      <name val="Calibri"/>
      <family val="2"/>
    </font>
    <font>
      <b/>
      <sz val="13"/>
      <color indexed="56"/>
      <name val="Calibri"/>
      <family val="2"/>
    </font>
    <font>
      <u/>
      <sz val="8.25"/>
      <color theme="10"/>
      <name val="Calibri"/>
      <family val="2"/>
    </font>
    <font>
      <b/>
      <sz val="18"/>
      <color theme="3"/>
      <name val="Calibri Light"/>
      <family val="2"/>
      <scheme val="major"/>
    </font>
    <font>
      <sz val="10"/>
      <name val="Verdana"/>
      <family val="2"/>
    </font>
    <font>
      <u/>
      <sz val="8.8000000000000007"/>
      <color theme="10"/>
      <name val="Calibri"/>
      <family val="2"/>
    </font>
    <font>
      <sz val="11"/>
      <color theme="1"/>
      <name val="Trebuchet MS"/>
      <family val="2"/>
    </font>
    <font>
      <b/>
      <sz val="11"/>
      <color theme="1"/>
      <name val="Trebuchet MS"/>
      <family val="2"/>
    </font>
    <font>
      <b/>
      <sz val="10"/>
      <color theme="1"/>
      <name val="Calibri"/>
      <family val="2"/>
    </font>
    <font>
      <sz val="10"/>
      <color rgb="FF000000"/>
      <name val="Calibri"/>
      <family val="2"/>
    </font>
    <font>
      <b/>
      <sz val="10"/>
      <color theme="1"/>
      <name val="Calibri"/>
      <family val="2"/>
      <scheme val="minor"/>
    </font>
    <font>
      <b/>
      <sz val="11"/>
      <name val="Times New Roman"/>
      <family val="1"/>
    </font>
    <font>
      <b/>
      <vertAlign val="superscript"/>
      <sz val="11"/>
      <name val="Times New Roman"/>
      <family val="1"/>
    </font>
    <font>
      <i/>
      <sz val="11"/>
      <color theme="1"/>
      <name val="Calibri"/>
      <family val="2"/>
      <scheme val="minor"/>
    </font>
    <font>
      <b/>
      <sz val="12"/>
      <color theme="1"/>
      <name val="Arial"/>
      <family val="2"/>
    </font>
    <font>
      <sz val="9"/>
      <color theme="1"/>
      <name val="Times New Roman"/>
      <family val="1"/>
    </font>
    <font>
      <sz val="10"/>
      <color theme="1"/>
      <name val="Arial Narrow"/>
      <family val="2"/>
    </font>
    <font>
      <sz val="14"/>
      <color theme="1"/>
      <name val="Calibri"/>
      <family val="2"/>
      <scheme val="minor"/>
    </font>
    <font>
      <sz val="14"/>
      <name val="Calibri"/>
      <family val="2"/>
      <scheme val="minor"/>
    </font>
    <font>
      <sz val="14"/>
      <color indexed="8"/>
      <name val="Calibri"/>
      <family val="2"/>
    </font>
    <font>
      <b/>
      <sz val="14"/>
      <name val="Calibri"/>
      <family val="2"/>
    </font>
    <font>
      <sz val="12"/>
      <name val="Calibri"/>
      <family val="2"/>
      <scheme val="minor"/>
    </font>
    <font>
      <b/>
      <sz val="16"/>
      <color theme="1"/>
      <name val="Arial"/>
      <family val="2"/>
    </font>
    <font>
      <sz val="12"/>
      <color theme="1"/>
      <name val="Times New Roman"/>
      <family val="1"/>
    </font>
    <font>
      <sz val="10"/>
      <color theme="1"/>
      <name val="Arial"/>
      <family val="2"/>
    </font>
    <font>
      <b/>
      <i/>
      <sz val="14"/>
      <color theme="1"/>
      <name val="Arial"/>
      <family val="2"/>
    </font>
    <font>
      <b/>
      <sz val="10"/>
      <color theme="1"/>
      <name val="Times New Roman"/>
      <family val="1"/>
    </font>
    <font>
      <sz val="10"/>
      <color theme="1"/>
      <name val="Times New Roman"/>
      <family val="1"/>
    </font>
    <font>
      <b/>
      <sz val="10"/>
      <color theme="1"/>
      <name val="Arial"/>
      <family val="2"/>
    </font>
    <font>
      <sz val="9"/>
      <color rgb="FF000000"/>
      <name val="Arial"/>
      <family val="2"/>
    </font>
    <font>
      <b/>
      <sz val="8"/>
      <color theme="1"/>
      <name val="Arial"/>
      <family val="2"/>
    </font>
    <font>
      <sz val="8"/>
      <color theme="1"/>
      <name val="Arial"/>
      <family val="2"/>
    </font>
    <font>
      <vertAlign val="superscript"/>
      <sz val="10"/>
      <color theme="1"/>
      <name val="Times New Roman"/>
      <family val="1"/>
    </font>
    <font>
      <b/>
      <sz val="12"/>
      <color theme="1"/>
      <name val="Calibri"/>
      <family val="2"/>
      <scheme val="minor"/>
    </font>
    <font>
      <b/>
      <sz val="14"/>
      <color theme="1"/>
      <name val="Calibri"/>
      <family val="2"/>
      <scheme val="minor"/>
    </font>
    <font>
      <sz val="12"/>
      <color theme="1"/>
      <name val="Calibri"/>
      <family val="2"/>
      <scheme val="minor"/>
    </font>
    <font>
      <sz val="16"/>
      <color rgb="FFFF0000"/>
      <name val="Calibri"/>
      <family val="2"/>
      <scheme val="minor"/>
    </font>
    <font>
      <b/>
      <sz val="12"/>
      <color theme="1"/>
      <name val="Century Gothic"/>
      <family val="2"/>
    </font>
    <font>
      <sz val="10"/>
      <name val="Century Gothic"/>
      <family val="2"/>
    </font>
    <font>
      <i/>
      <sz val="12"/>
      <name val="Century Gothic"/>
      <family val="2"/>
    </font>
    <font>
      <i/>
      <sz val="12"/>
      <color rgb="FF0000FF"/>
      <name val="Century Gothic"/>
      <family val="2"/>
    </font>
    <font>
      <sz val="10"/>
      <color rgb="FF0000FF"/>
      <name val="Century Gothic"/>
      <family val="2"/>
    </font>
    <font>
      <b/>
      <sz val="14"/>
      <name val="Calibri"/>
      <family val="2"/>
      <scheme val="minor"/>
    </font>
    <font>
      <b/>
      <sz val="12"/>
      <name val="Calibri"/>
      <family val="2"/>
      <scheme val="minor"/>
    </font>
    <font>
      <b/>
      <i/>
      <sz val="14"/>
      <name val="Calibri"/>
      <family val="2"/>
      <scheme val="minor"/>
    </font>
    <font>
      <b/>
      <i/>
      <sz val="12"/>
      <name val="Calibri"/>
      <family val="2"/>
      <scheme val="minor"/>
    </font>
    <font>
      <sz val="11"/>
      <color theme="1"/>
      <name val="Arial Narrow"/>
      <family val="2"/>
    </font>
    <font>
      <b/>
      <sz val="12"/>
      <color rgb="FF000000"/>
      <name val="Calibri"/>
      <family val="2"/>
      <scheme val="minor"/>
    </font>
    <font>
      <sz val="12"/>
      <color rgb="FF000000"/>
      <name val="Calibri"/>
      <family val="2"/>
      <scheme val="minor"/>
    </font>
    <font>
      <b/>
      <sz val="16"/>
      <name val="Calibri"/>
      <family val="2"/>
    </font>
    <font>
      <sz val="14"/>
      <color theme="1"/>
      <name val="Calibri"/>
      <family val="2"/>
    </font>
    <font>
      <sz val="12"/>
      <color theme="1"/>
      <name val="Calibri"/>
      <family val="2"/>
    </font>
    <font>
      <b/>
      <sz val="14"/>
      <color indexed="81"/>
      <name val="Tahoma"/>
      <family val="2"/>
    </font>
    <font>
      <sz val="14"/>
      <color indexed="81"/>
      <name val="Tahoma"/>
      <family val="2"/>
    </font>
    <font>
      <b/>
      <sz val="18"/>
      <color theme="1"/>
      <name val="Calibri"/>
      <family val="2"/>
      <scheme val="minor"/>
    </font>
    <font>
      <b/>
      <sz val="22"/>
      <color theme="1"/>
      <name val="Calibri"/>
      <family val="2"/>
      <scheme val="minor"/>
    </font>
    <font>
      <sz val="16"/>
      <name val="Calibri"/>
      <family val="2"/>
      <scheme val="minor"/>
    </font>
    <font>
      <u/>
      <sz val="16"/>
      <color theme="10"/>
      <name val="Calibri"/>
      <family val="2"/>
      <scheme val="minor"/>
    </font>
    <font>
      <sz val="16"/>
      <color theme="1"/>
      <name val="Calibri"/>
      <family val="2"/>
      <scheme val="minor"/>
    </font>
    <font>
      <b/>
      <sz val="24"/>
      <color theme="1"/>
      <name val="Calibri"/>
      <family val="2"/>
      <scheme val="minor"/>
    </font>
    <font>
      <sz val="16"/>
      <color rgb="FF0070C0"/>
      <name val="Calibri"/>
      <family val="2"/>
      <scheme val="minor"/>
    </font>
  </fonts>
  <fills count="79">
    <fill>
      <patternFill patternType="none"/>
    </fill>
    <fill>
      <patternFill patternType="gray125"/>
    </fill>
    <fill>
      <patternFill patternType="solid">
        <fgColor theme="2" tint="-9.9978637043366805E-2"/>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indexed="44"/>
        <bgColor indexed="64"/>
      </patternFill>
    </fill>
    <fill>
      <patternFill patternType="solid">
        <fgColor indexed="47"/>
        <bgColor indexed="64"/>
      </patternFill>
    </fill>
    <fill>
      <patternFill patternType="solid">
        <fgColor indexed="8"/>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rgb="FF00B050"/>
        <bgColor indexed="64"/>
      </patternFill>
    </fill>
    <fill>
      <patternFill patternType="solid">
        <fgColor rgb="FFFFC000"/>
        <bgColor indexed="64"/>
      </patternFill>
    </fill>
    <fill>
      <patternFill patternType="solid">
        <fgColor indexed="9"/>
        <bgColor indexed="64"/>
      </patternFill>
    </fill>
    <fill>
      <patternFill patternType="solid">
        <fgColor rgb="FF0D0D0D"/>
        <bgColor indexed="64"/>
      </patternFill>
    </fill>
    <fill>
      <patternFill patternType="lightGray">
        <fgColor rgb="FF000000"/>
        <bgColor rgb="FFCCCCCC"/>
      </patternFill>
    </fill>
    <fill>
      <patternFill patternType="gray0625">
        <fgColor rgb="FF000000"/>
        <bgColor rgb="FFF2F2F2"/>
      </patternFill>
    </fill>
    <fill>
      <patternFill patternType="solid">
        <fgColor rgb="FFBFBFBF"/>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00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thick">
        <color indexed="22"/>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rgb="FFFFFFFF"/>
      </left>
      <right style="thick">
        <color rgb="FFFFFFFF"/>
      </right>
      <top style="thick">
        <color rgb="FFFFFFFF"/>
      </top>
      <bottom/>
      <diagonal/>
    </border>
    <border>
      <left style="thick">
        <color rgb="FFFFFFFF"/>
      </left>
      <right style="thick">
        <color rgb="FFFFFFFF"/>
      </right>
      <top/>
      <bottom style="thick">
        <color rgb="FFFFFFFF"/>
      </bottom>
      <diagonal/>
    </border>
    <border>
      <left/>
      <right style="thick">
        <color rgb="FFFFFFFF"/>
      </right>
      <top style="thick">
        <color rgb="FFFFFFFF"/>
      </top>
      <bottom/>
      <diagonal/>
    </border>
    <border>
      <left/>
      <right style="thick">
        <color rgb="FFFFFFFF"/>
      </right>
      <top/>
      <bottom style="thick">
        <color rgb="FFFFFFFF"/>
      </bottom>
      <diagonal/>
    </border>
    <border>
      <left/>
      <right style="thick">
        <color rgb="FFFFFFFF"/>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2110">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2" fillId="0" borderId="0">
      <alignment readingOrder="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7" borderId="0" applyNumberFormat="0" applyAlignment="0">
      <alignment horizontal="right"/>
    </xf>
    <xf numFmtId="0" fontId="13" fillId="8" borderId="0" applyNumberFormat="0" applyAlignment="0"/>
    <xf numFmtId="166" fontId="19" fillId="0" borderId="0"/>
    <xf numFmtId="0" fontId="20" fillId="0" borderId="0">
      <alignment horizontal="center" wrapText="1"/>
    </xf>
    <xf numFmtId="0" fontId="14" fillId="9" borderId="5">
      <alignment horizontal="left"/>
    </xf>
    <xf numFmtId="0" fontId="16" fillId="0" borderId="0" applyNumberFormat="0" applyFill="0" applyBorder="0" applyAlignment="0" applyProtection="0">
      <alignment vertical="top"/>
      <protection locked="0"/>
    </xf>
    <xf numFmtId="0" fontId="13" fillId="0" borderId="0">
      <alignment readingOrder="1"/>
    </xf>
    <xf numFmtId="0" fontId="13" fillId="0" borderId="0"/>
    <xf numFmtId="0" fontId="13" fillId="0" borderId="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7" borderId="0" applyNumberFormat="0" applyAlignment="0">
      <alignment horizontal="right"/>
    </xf>
    <xf numFmtId="0" fontId="22" fillId="0" borderId="0"/>
    <xf numFmtId="0" fontId="22" fillId="0" borderId="0"/>
    <xf numFmtId="0" fontId="22" fillId="0" borderId="0"/>
    <xf numFmtId="0" fontId="13" fillId="0" borderId="0"/>
    <xf numFmtId="0" fontId="22" fillId="0" borderId="0"/>
    <xf numFmtId="0" fontId="22" fillId="0" borderId="0"/>
    <xf numFmtId="0" fontId="13" fillId="0" borderId="0">
      <alignment readingOrder="1"/>
    </xf>
    <xf numFmtId="0" fontId="22" fillId="0" borderId="0"/>
    <xf numFmtId="0" fontId="13" fillId="0" borderId="0"/>
    <xf numFmtId="0" fontId="22" fillId="0" borderId="0"/>
    <xf numFmtId="0" fontId="22" fillId="0" borderId="0"/>
    <xf numFmtId="0" fontId="22" fillId="0" borderId="0"/>
    <xf numFmtId="0" fontId="25" fillId="0" borderId="0"/>
    <xf numFmtId="0" fontId="22" fillId="0" borderId="0"/>
    <xf numFmtId="0" fontId="22" fillId="0" borderId="0"/>
    <xf numFmtId="0" fontId="22" fillId="0" borderId="0"/>
    <xf numFmtId="0" fontId="22" fillId="0" borderId="0"/>
    <xf numFmtId="0" fontId="13" fillId="0" borderId="0">
      <alignment readingOrder="1"/>
    </xf>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3" fillId="0" borderId="0">
      <alignment readingOrder="1"/>
    </xf>
    <xf numFmtId="0" fontId="13" fillId="0" borderId="0"/>
    <xf numFmtId="0" fontId="28" fillId="0" borderId="0" applyNumberFormat="0" applyFill="0" applyBorder="0" applyAlignment="0" applyProtection="0">
      <alignment vertical="top"/>
      <protection locked="0"/>
    </xf>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29" fillId="12" borderId="0" applyNumberFormat="0" applyBorder="0" applyAlignment="0" applyProtection="0"/>
    <xf numFmtId="0" fontId="30" fillId="29" borderId="28" applyNumberFormat="0" applyAlignment="0" applyProtection="0"/>
    <xf numFmtId="0" fontId="31" fillId="30" borderId="29"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7" borderId="0" applyNumberFormat="0" applyAlignment="0">
      <alignment horizontal="right"/>
    </xf>
    <xf numFmtId="0" fontId="13" fillId="7" borderId="0" applyNumberFormat="0" applyAlignment="0">
      <alignment horizontal="right"/>
    </xf>
    <xf numFmtId="0" fontId="32" fillId="0" borderId="0" applyNumberFormat="0" applyFill="0" applyBorder="0" applyAlignment="0" applyProtection="0"/>
    <xf numFmtId="0" fontId="33" fillId="13" borderId="0" applyNumberFormat="0" applyBorder="0" applyAlignment="0" applyProtection="0"/>
    <xf numFmtId="0" fontId="34" fillId="0" borderId="30" applyNumberFormat="0" applyFill="0" applyAlignment="0" applyProtection="0"/>
    <xf numFmtId="0" fontId="26" fillId="0" borderId="31" applyNumberFormat="0" applyFill="0" applyAlignment="0" applyProtection="0"/>
    <xf numFmtId="0" fontId="26" fillId="0" borderId="0" applyNumberFormat="0" applyFill="0" applyBorder="0" applyAlignment="0" applyProtection="0"/>
    <xf numFmtId="0" fontId="35" fillId="16" borderId="28" applyNumberFormat="0" applyAlignment="0" applyProtection="0"/>
    <xf numFmtId="0" fontId="36" fillId="0" borderId="32" applyNumberFormat="0" applyFill="0" applyAlignment="0" applyProtection="0"/>
    <xf numFmtId="0" fontId="37" fillId="31" borderId="0" applyNumberFormat="0" applyBorder="0" applyAlignment="0" applyProtection="0"/>
    <xf numFmtId="0" fontId="13" fillId="0" borderId="0"/>
    <xf numFmtId="0" fontId="13" fillId="0" borderId="0"/>
    <xf numFmtId="0" fontId="13" fillId="0" borderId="0">
      <alignment readingOrder="1"/>
    </xf>
    <xf numFmtId="0" fontId="13" fillId="0" borderId="0">
      <alignment readingOrder="1"/>
    </xf>
    <xf numFmtId="0" fontId="13" fillId="0" borderId="0"/>
    <xf numFmtId="0" fontId="13" fillId="0" borderId="0"/>
    <xf numFmtId="0" fontId="1" fillId="0" borderId="0"/>
    <xf numFmtId="0" fontId="13" fillId="0" borderId="0">
      <alignment readingOrder="1"/>
    </xf>
    <xf numFmtId="0" fontId="22" fillId="32" borderId="33" applyNumberFormat="0" applyFont="0" applyAlignment="0" applyProtection="0"/>
    <xf numFmtId="0" fontId="38" fillId="29" borderId="3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9" fillId="0" borderId="0" applyNumberFormat="0" applyFill="0" applyBorder="0" applyAlignment="0" applyProtection="0"/>
    <xf numFmtId="0" fontId="24" fillId="0" borderId="35" applyNumberFormat="0" applyFill="0" applyAlignment="0" applyProtection="0"/>
    <xf numFmtId="0" fontId="40" fillId="0" borderId="0" applyNumberFormat="0" applyFill="0" applyBorder="0" applyAlignment="0" applyProtection="0"/>
    <xf numFmtId="0" fontId="1" fillId="0" borderId="0"/>
    <xf numFmtId="0" fontId="1" fillId="0" borderId="0"/>
    <xf numFmtId="0" fontId="13" fillId="0" borderId="0"/>
    <xf numFmtId="0" fontId="13" fillId="0" borderId="0">
      <alignment readingOrder="1"/>
    </xf>
    <xf numFmtId="0" fontId="1" fillId="0" borderId="0"/>
    <xf numFmtId="43" fontId="1"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0" fontId="13" fillId="0" borderId="0">
      <alignment readingOrder="1"/>
    </xf>
    <xf numFmtId="0" fontId="13" fillId="0" borderId="0"/>
    <xf numFmtId="0" fontId="13" fillId="0" borderId="0" applyNumberFormat="0" applyFill="0" applyBorder="0" applyAlignment="0" applyProtection="0"/>
    <xf numFmtId="9" fontId="1" fillId="0" borderId="0" applyFont="0" applyFill="0" applyBorder="0" applyAlignment="0" applyProtection="0"/>
    <xf numFmtId="0" fontId="22" fillId="32" borderId="43" applyNumberFormat="0" applyFont="0" applyAlignment="0" applyProtection="0"/>
    <xf numFmtId="0" fontId="14" fillId="9" borderId="38">
      <alignment horizontal="left"/>
    </xf>
    <xf numFmtId="0" fontId="24" fillId="0" borderId="45" applyNumberFormat="0" applyFill="0" applyAlignment="0" applyProtection="0"/>
    <xf numFmtId="0" fontId="13" fillId="0" borderId="0"/>
    <xf numFmtId="0" fontId="30" fillId="29" borderId="42" applyNumberFormat="0" applyAlignment="0" applyProtection="0"/>
    <xf numFmtId="0" fontId="35" fillId="16" borderId="42" applyNumberFormat="0" applyAlignment="0" applyProtection="0"/>
    <xf numFmtId="0" fontId="38" fillId="29" borderId="44" applyNumberFormat="0" applyAlignment="0" applyProtection="0"/>
    <xf numFmtId="0" fontId="1" fillId="0" borderId="0"/>
    <xf numFmtId="0" fontId="1" fillId="0" borderId="0"/>
    <xf numFmtId="0" fontId="22" fillId="32" borderId="48" applyNumberFormat="0" applyFont="0" applyAlignment="0" applyProtection="0"/>
    <xf numFmtId="0" fontId="38" fillId="29" borderId="49" applyNumberFormat="0" applyAlignment="0" applyProtection="0"/>
    <xf numFmtId="0" fontId="24" fillId="0" borderId="50" applyNumberFormat="0" applyFill="0" applyAlignment="0" applyProtection="0"/>
    <xf numFmtId="0" fontId="42" fillId="0" borderId="52" applyNumberFormat="0" applyFill="0" applyAlignment="0" applyProtection="0"/>
    <xf numFmtId="0" fontId="43" fillId="0" borderId="53" applyNumberFormat="0" applyFill="0" applyAlignment="0" applyProtection="0"/>
    <xf numFmtId="0" fontId="44" fillId="0" borderId="54" applyNumberFormat="0" applyFill="0" applyAlignment="0" applyProtection="0"/>
    <xf numFmtId="0" fontId="44" fillId="0" borderId="0" applyNumberFormat="0" applyFill="0" applyBorder="0" applyAlignment="0" applyProtection="0"/>
    <xf numFmtId="0" fontId="45" fillId="33" borderId="0" applyNumberFormat="0" applyBorder="0" applyAlignment="0" applyProtection="0"/>
    <xf numFmtId="0" fontId="46" fillId="34" borderId="0" applyNumberFormat="0" applyBorder="0" applyAlignment="0" applyProtection="0"/>
    <xf numFmtId="0" fontId="47" fillId="35" borderId="0" applyNumberFormat="0" applyBorder="0" applyAlignment="0" applyProtection="0"/>
    <xf numFmtId="0" fontId="48" fillId="36" borderId="55" applyNumberFormat="0" applyAlignment="0" applyProtection="0"/>
    <xf numFmtId="0" fontId="49" fillId="37" borderId="56" applyNumberFormat="0" applyAlignment="0" applyProtection="0"/>
    <xf numFmtId="0" fontId="50" fillId="37" borderId="55" applyNumberFormat="0" applyAlignment="0" applyProtection="0"/>
    <xf numFmtId="0" fontId="51" fillId="0" borderId="57" applyNumberFormat="0" applyFill="0" applyAlignment="0" applyProtection="0"/>
    <xf numFmtId="0" fontId="52" fillId="38" borderId="58" applyNumberFormat="0" applyAlignment="0" applyProtection="0"/>
    <xf numFmtId="0" fontId="53" fillId="0" borderId="0" applyNumberFormat="0" applyFill="0" applyBorder="0" applyAlignment="0" applyProtection="0"/>
    <xf numFmtId="0" fontId="1" fillId="39" borderId="59" applyNumberFormat="0" applyFont="0" applyAlignment="0" applyProtection="0"/>
    <xf numFmtId="0" fontId="54" fillId="0" borderId="0" applyNumberFormat="0" applyFill="0" applyBorder="0" applyAlignment="0" applyProtection="0"/>
    <xf numFmtId="0" fontId="2" fillId="0" borderId="60" applyNumberFormat="0" applyFill="0" applyAlignment="0" applyProtection="0"/>
    <xf numFmtId="0" fontId="5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55" fillId="59" borderId="0" applyNumberFormat="0" applyBorder="0" applyAlignment="0" applyProtection="0"/>
    <xf numFmtId="0" fontId="55"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55" fillId="63" borderId="0" applyNumberFormat="0" applyBorder="0" applyAlignment="0" applyProtection="0"/>
    <xf numFmtId="0" fontId="1" fillId="0" borderId="0"/>
    <xf numFmtId="0" fontId="13" fillId="0" borderId="0"/>
    <xf numFmtId="0" fontId="59" fillId="0" borderId="66" applyNumberFormat="0" applyFill="0" applyAlignment="0" applyProtection="0"/>
    <xf numFmtId="0" fontId="58"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32" borderId="48" applyNumberFormat="0" applyFont="0" applyAlignment="0" applyProtection="0"/>
    <xf numFmtId="9" fontId="13" fillId="0" borderId="0" applyFont="0" applyFill="0" applyBorder="0" applyAlignment="0" applyProtection="0"/>
    <xf numFmtId="0" fontId="61" fillId="0" borderId="0" applyNumberFormat="0" applyFill="0" applyBorder="0" applyAlignment="0" applyProtection="0"/>
    <xf numFmtId="0" fontId="13" fillId="0" borderId="0"/>
    <xf numFmtId="0" fontId="62" fillId="0" borderId="0"/>
    <xf numFmtId="0" fontId="13" fillId="0" borderId="0"/>
    <xf numFmtId="0" fontId="13" fillId="0" borderId="0"/>
    <xf numFmtId="0" fontId="13" fillId="0" borderId="0"/>
    <xf numFmtId="0" fontId="63"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 fillId="0" borderId="0"/>
    <xf numFmtId="0" fontId="41" fillId="0" borderId="0" applyNumberFormat="0" applyFill="0" applyBorder="0" applyAlignment="0" applyProtection="0"/>
    <xf numFmtId="0" fontId="74" fillId="0" borderId="0"/>
    <xf numFmtId="44" fontId="74" fillId="0" borderId="0" applyFont="0" applyFill="0" applyBorder="0" applyAlignment="0" applyProtection="0"/>
    <xf numFmtId="0" fontId="1" fillId="0" borderId="0"/>
    <xf numFmtId="0" fontId="12" fillId="0" borderId="0"/>
    <xf numFmtId="9" fontId="1" fillId="0" borderId="0" applyFont="0" applyFill="0" applyBorder="0" applyAlignment="0" applyProtection="0"/>
  </cellStyleXfs>
  <cellXfs count="815">
    <xf numFmtId="0" fontId="0" fillId="0" borderId="0" xfId="0"/>
    <xf numFmtId="0" fontId="0" fillId="0" borderId="1" xfId="0" applyBorder="1"/>
    <xf numFmtId="0" fontId="0" fillId="2" borderId="1" xfId="0" applyFill="1" applyBorder="1"/>
    <xf numFmtId="0" fontId="3" fillId="0" borderId="0" xfId="2"/>
    <xf numFmtId="0" fontId="3" fillId="0" borderId="1" xfId="2" applyBorder="1" applyAlignment="1">
      <alignment wrapText="1"/>
    </xf>
    <xf numFmtId="0" fontId="0" fillId="0" borderId="0" xfId="0" applyBorder="1"/>
    <xf numFmtId="0" fontId="0" fillId="0" borderId="0" xfId="0" applyFont="1" applyAlignment="1">
      <alignment wrapText="1"/>
    </xf>
    <xf numFmtId="44" fontId="0" fillId="0" borderId="1" xfId="1" applyFont="1" applyFill="1" applyBorder="1"/>
    <xf numFmtId="0" fontId="0" fillId="0" borderId="1" xfId="0" applyBorder="1" applyAlignment="1"/>
    <xf numFmtId="0" fontId="0" fillId="0" borderId="7" xfId="0" applyBorder="1"/>
    <xf numFmtId="44" fontId="0" fillId="0" borderId="0" xfId="1" applyFont="1"/>
    <xf numFmtId="44" fontId="0" fillId="0" borderId="1" xfId="0" applyNumberFormat="1" applyBorder="1" applyAlignment="1"/>
    <xf numFmtId="0" fontId="0" fillId="0" borderId="0" xfId="0" applyFill="1"/>
    <xf numFmtId="0" fontId="0" fillId="0" borderId="0" xfId="0"/>
    <xf numFmtId="0" fontId="0" fillId="0" borderId="0" xfId="0" applyFill="1" applyBorder="1"/>
    <xf numFmtId="0" fontId="0" fillId="0" borderId="0" xfId="0"/>
    <xf numFmtId="6" fontId="0" fillId="0" borderId="1" xfId="0" applyNumberFormat="1" applyBorder="1"/>
    <xf numFmtId="0" fontId="2" fillId="0" borderId="1" xfId="0" applyFont="1" applyFill="1" applyBorder="1" applyAlignment="1">
      <alignment vertical="center"/>
    </xf>
    <xf numFmtId="44" fontId="2" fillId="0" borderId="1" xfId="1" applyFont="1" applyFill="1" applyBorder="1"/>
    <xf numFmtId="0" fontId="0" fillId="2" borderId="36" xfId="0" applyFill="1" applyBorder="1" applyAlignment="1">
      <alignment wrapText="1"/>
    </xf>
    <xf numFmtId="164" fontId="21" fillId="0" borderId="1" xfId="9" applyNumberFormat="1" applyFont="1" applyFill="1" applyBorder="1" applyAlignment="1">
      <alignment horizontal="center" wrapText="1"/>
    </xf>
    <xf numFmtId="167" fontId="21" fillId="0" borderId="1" xfId="135" applyNumberFormat="1" applyFont="1" applyFill="1" applyBorder="1" applyAlignment="1">
      <alignment wrapText="1"/>
    </xf>
    <xf numFmtId="0" fontId="23" fillId="10" borderId="47" xfId="135" applyFont="1" applyFill="1" applyBorder="1" applyAlignment="1">
      <alignment horizontal="left" wrapText="1"/>
    </xf>
    <xf numFmtId="0" fontId="0" fillId="2" borderId="36" xfId="0" applyFill="1" applyBorder="1"/>
    <xf numFmtId="0" fontId="13" fillId="0" borderId="1" xfId="55" applyBorder="1" applyAlignment="1">
      <alignment horizontal="left" vertical="center" readingOrder="1"/>
    </xf>
    <xf numFmtId="0" fontId="0" fillId="0" borderId="36" xfId="0" applyBorder="1"/>
    <xf numFmtId="0" fontId="0" fillId="0" borderId="10" xfId="0" applyFill="1" applyBorder="1" applyAlignment="1"/>
    <xf numFmtId="0" fontId="23" fillId="10" borderId="1" xfId="135" applyFont="1" applyFill="1" applyBorder="1" applyAlignment="1">
      <alignment horizontal="left" wrapText="1"/>
    </xf>
    <xf numFmtId="0" fontId="18" fillId="5" borderId="1" xfId="55" applyFont="1" applyFill="1" applyBorder="1" applyAlignment="1">
      <alignment horizontal="center" vertical="center" readingOrder="1"/>
    </xf>
    <xf numFmtId="164" fontId="0" fillId="0" borderId="1" xfId="0" applyNumberFormat="1" applyBorder="1"/>
    <xf numFmtId="0" fontId="13" fillId="0" borderId="1" xfId="55" applyFont="1" applyFill="1" applyBorder="1" applyAlignment="1">
      <alignment horizontal="left" vertical="center" wrapText="1" readingOrder="1"/>
    </xf>
    <xf numFmtId="0" fontId="13" fillId="0" borderId="1" xfId="55" applyFill="1" applyBorder="1" applyAlignment="1">
      <alignment horizontal="left" vertical="center" wrapText="1" readingOrder="1"/>
    </xf>
    <xf numFmtId="167" fontId="21" fillId="0" borderId="1" xfId="135" applyNumberFormat="1" applyFont="1" applyFill="1" applyBorder="1" applyAlignment="1">
      <alignment horizontal="left" wrapText="1"/>
    </xf>
    <xf numFmtId="0" fontId="23" fillId="10" borderId="51" xfId="135" applyFont="1" applyFill="1" applyBorder="1" applyAlignment="1">
      <alignment horizontal="left" wrapText="1"/>
    </xf>
    <xf numFmtId="164" fontId="0" fillId="0" borderId="0" xfId="0" applyNumberFormat="1"/>
    <xf numFmtId="0" fontId="13" fillId="0" borderId="0" xfId="55" applyAlignment="1">
      <alignment readingOrder="1"/>
    </xf>
    <xf numFmtId="0" fontId="13" fillId="0" borderId="0" xfId="55" applyFill="1" applyBorder="1" applyAlignment="1">
      <alignment readingOrder="1"/>
    </xf>
    <xf numFmtId="0" fontId="18" fillId="5" borderId="41" xfId="55" applyFont="1" applyFill="1" applyBorder="1" applyAlignment="1">
      <alignment vertical="top" readingOrder="1"/>
    </xf>
    <xf numFmtId="0" fontId="18" fillId="5" borderId="39" xfId="55" applyFont="1" applyFill="1" applyBorder="1" applyAlignment="1">
      <alignment horizontal="center" vertical="center" readingOrder="1"/>
    </xf>
    <xf numFmtId="0" fontId="18" fillId="5" borderId="37" xfId="55" applyFont="1" applyFill="1" applyBorder="1" applyAlignment="1">
      <alignment horizontal="center" vertical="center" wrapText="1" readingOrder="1"/>
    </xf>
    <xf numFmtId="0" fontId="18" fillId="5" borderId="37" xfId="55" applyFont="1" applyFill="1" applyBorder="1" applyAlignment="1">
      <alignment horizontal="center" vertical="center" readingOrder="1"/>
    </xf>
    <xf numFmtId="0" fontId="18" fillId="5" borderId="40" xfId="55" applyFont="1" applyFill="1" applyBorder="1" applyAlignment="1">
      <alignment vertical="top" readingOrder="1"/>
    </xf>
    <xf numFmtId="0" fontId="0" fillId="0" borderId="0" xfId="0" applyAlignment="1"/>
    <xf numFmtId="44" fontId="0" fillId="0" borderId="0" xfId="1" applyFont="1" applyAlignment="1"/>
    <xf numFmtId="44" fontId="2" fillId="0" borderId="1" xfId="1" applyFont="1" applyFill="1" applyBorder="1" applyAlignment="1"/>
    <xf numFmtId="6" fontId="67" fillId="0" borderId="24" xfId="0" applyNumberFormat="1"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6" fillId="3" borderId="12" xfId="0" applyFont="1" applyFill="1" applyBorder="1" applyAlignment="1">
      <alignment horizontal="center" vertical="center" wrapText="1"/>
    </xf>
    <xf numFmtId="0" fontId="66" fillId="3" borderId="25" xfId="0" applyFont="1" applyFill="1" applyBorder="1" applyAlignment="1">
      <alignment horizontal="center" vertical="center" wrapText="1"/>
    </xf>
    <xf numFmtId="6" fontId="7" fillId="4" borderId="24" xfId="0" applyNumberFormat="1" applyFont="1" applyFill="1" applyBorder="1" applyAlignment="1">
      <alignment horizontal="center" vertical="center" wrapText="1"/>
    </xf>
    <xf numFmtId="6" fontId="4" fillId="0" borderId="24" xfId="0" applyNumberFormat="1" applyFont="1" applyBorder="1" applyAlignment="1">
      <alignment horizontal="center" vertical="center"/>
    </xf>
    <xf numFmtId="0" fontId="7" fillId="4" borderId="26" xfId="0" applyFont="1" applyFill="1" applyBorder="1" applyAlignment="1">
      <alignment horizontal="left" vertical="center" wrapText="1" indent="1"/>
    </xf>
    <xf numFmtId="0" fontId="5" fillId="3" borderId="12" xfId="0" applyFont="1" applyFill="1" applyBorder="1" applyAlignment="1">
      <alignment horizontal="center" vertical="center" wrapText="1"/>
    </xf>
    <xf numFmtId="0" fontId="64" fillId="0" borderId="70" xfId="0" applyFont="1" applyBorder="1" applyAlignment="1">
      <alignment horizontal="center" vertical="center" wrapText="1"/>
    </xf>
    <xf numFmtId="0" fontId="64" fillId="0" borderId="73" xfId="0" applyFont="1" applyBorder="1" applyAlignment="1">
      <alignment horizontal="center" vertical="center" wrapText="1"/>
    </xf>
    <xf numFmtId="8" fontId="64" fillId="4" borderId="74" xfId="0" applyNumberFormat="1" applyFont="1" applyFill="1" applyBorder="1" applyAlignment="1">
      <alignment horizontal="center" vertical="center" wrapText="1"/>
    </xf>
    <xf numFmtId="0" fontId="64" fillId="4" borderId="70" xfId="0" applyFont="1" applyFill="1" applyBorder="1" applyAlignment="1">
      <alignment horizontal="center" vertical="center" wrapText="1"/>
    </xf>
    <xf numFmtId="0" fontId="64" fillId="4" borderId="73" xfId="0" applyFont="1" applyFill="1" applyBorder="1" applyAlignment="1">
      <alignment horizontal="center" vertical="center" wrapText="1"/>
    </xf>
    <xf numFmtId="8" fontId="64" fillId="4" borderId="24" xfId="0" applyNumberFormat="1" applyFont="1" applyFill="1" applyBorder="1" applyAlignment="1">
      <alignment horizontal="center" vertical="center" wrapText="1"/>
    </xf>
    <xf numFmtId="0" fontId="6" fillId="4" borderId="73" xfId="0" applyFont="1" applyFill="1" applyBorder="1" applyAlignment="1">
      <alignment horizontal="center" vertical="center" wrapText="1"/>
    </xf>
    <xf numFmtId="8" fontId="64" fillId="0" borderId="74" xfId="0" applyNumberFormat="1" applyFont="1" applyBorder="1" applyAlignment="1">
      <alignment horizontal="center" vertical="center" wrapText="1"/>
    </xf>
    <xf numFmtId="0" fontId="6" fillId="0" borderId="70" xfId="0" applyFont="1" applyBorder="1" applyAlignment="1">
      <alignment horizontal="center" vertical="center" wrapText="1"/>
    </xf>
    <xf numFmtId="8" fontId="64" fillId="0" borderId="24" xfId="0" applyNumberFormat="1" applyFont="1" applyBorder="1" applyAlignment="1">
      <alignment horizontal="center" vertical="center" wrapText="1"/>
    </xf>
    <xf numFmtId="0" fontId="6" fillId="0" borderId="73" xfId="0" applyFont="1" applyBorder="1" applyAlignment="1">
      <alignment horizontal="center" vertical="center" wrapText="1"/>
    </xf>
    <xf numFmtId="0" fontId="57" fillId="64" borderId="74" xfId="0" applyFont="1" applyFill="1" applyBorder="1" applyAlignment="1">
      <alignment horizontal="center" vertical="center" wrapText="1"/>
    </xf>
    <xf numFmtId="0" fontId="57" fillId="64" borderId="73" xfId="0" applyFont="1" applyFill="1" applyBorder="1" applyAlignment="1">
      <alignment horizontal="center" vertical="center" wrapText="1"/>
    </xf>
    <xf numFmtId="0" fontId="57" fillId="64"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0" borderId="0" xfId="0"/>
    <xf numFmtId="0" fontId="0" fillId="0" borderId="1" xfId="0" applyBorder="1"/>
    <xf numFmtId="0" fontId="0" fillId="0" borderId="0" xfId="0" applyFont="1" applyAlignment="1">
      <alignment horizontal="left" vertical="top" wrapText="1"/>
    </xf>
    <xf numFmtId="0" fontId="0" fillId="0" borderId="0" xfId="0" applyProtection="1">
      <protection locked="0"/>
    </xf>
    <xf numFmtId="0" fontId="69" fillId="66" borderId="37" xfId="0" applyFont="1" applyFill="1" applyBorder="1" applyAlignment="1">
      <alignment horizontal="center" vertical="center" wrapText="1"/>
    </xf>
    <xf numFmtId="0" fontId="69" fillId="66" borderId="36" xfId="0" applyFont="1" applyFill="1" applyBorder="1" applyAlignment="1">
      <alignment horizontal="center" vertical="center" wrapText="1"/>
    </xf>
    <xf numFmtId="0" fontId="71" fillId="0" borderId="38" xfId="0" applyFont="1" applyBorder="1" applyAlignment="1">
      <alignment horizontal="centerContinuous"/>
    </xf>
    <xf numFmtId="0" fontId="0" fillId="0" borderId="38" xfId="0" applyBorder="1" applyAlignment="1">
      <alignment horizontal="centerContinuous"/>
    </xf>
    <xf numFmtId="0" fontId="0" fillId="0" borderId="36" xfId="0" applyBorder="1" applyProtection="1">
      <protection locked="0"/>
    </xf>
    <xf numFmtId="168" fontId="0" fillId="0" borderId="36" xfId="0" applyNumberFormat="1" applyBorder="1" applyProtection="1">
      <protection locked="0"/>
    </xf>
    <xf numFmtId="0" fontId="0" fillId="0" borderId="84" xfId="0" applyBorder="1"/>
    <xf numFmtId="0" fontId="0" fillId="0" borderId="0" xfId="0" applyBorder="1" applyProtection="1">
      <protection locked="0"/>
    </xf>
    <xf numFmtId="0" fontId="0" fillId="0" borderId="14" xfId="0" applyBorder="1"/>
    <xf numFmtId="0" fontId="0" fillId="0" borderId="12" xfId="0" applyBorder="1"/>
    <xf numFmtId="0" fontId="72" fillId="0" borderId="0" xfId="0" applyFont="1"/>
    <xf numFmtId="1" fontId="21" fillId="67" borderId="36" xfId="44" applyNumberFormat="1" applyFont="1" applyFill="1" applyBorder="1" applyAlignment="1" applyProtection="1">
      <alignment horizontal="center"/>
      <protection locked="0"/>
    </xf>
    <xf numFmtId="0" fontId="21" fillId="67" borderId="36" xfId="44" applyFont="1" applyFill="1" applyBorder="1" applyProtection="1">
      <protection locked="0"/>
    </xf>
    <xf numFmtId="0" fontId="21" fillId="67" borderId="36" xfId="44" applyFont="1" applyFill="1" applyBorder="1" applyAlignment="1" applyProtection="1">
      <alignment horizontal="center"/>
      <protection locked="0"/>
    </xf>
    <xf numFmtId="0" fontId="73" fillId="0" borderId="0" xfId="0" applyFont="1" applyBorder="1"/>
    <xf numFmtId="0" fontId="21" fillId="67" borderId="0" xfId="44" applyFont="1" applyFill="1" applyBorder="1" applyProtection="1">
      <protection locked="0"/>
    </xf>
    <xf numFmtId="0" fontId="0" fillId="0" borderId="36" xfId="0" applyBorder="1" applyAlignment="1">
      <alignment vertical="center"/>
    </xf>
    <xf numFmtId="168" fontId="0" fillId="0" borderId="36" xfId="0" applyNumberFormat="1" applyBorder="1" applyAlignment="1" applyProtection="1">
      <alignment vertical="center" wrapText="1"/>
      <protection locked="0"/>
    </xf>
    <xf numFmtId="0" fontId="0" fillId="0" borderId="36" xfId="0" applyBorder="1" applyAlignment="1">
      <alignment vertical="center" wrapText="1"/>
    </xf>
    <xf numFmtId="0" fontId="0" fillId="2" borderId="36" xfId="0" applyFill="1" applyBorder="1" applyAlignment="1">
      <alignment vertical="center"/>
    </xf>
    <xf numFmtId="0" fontId="74" fillId="0" borderId="0" xfId="2105" applyAlignment="1"/>
    <xf numFmtId="0" fontId="74" fillId="0" borderId="0" xfId="2105" applyAlignment="1">
      <alignment wrapText="1"/>
    </xf>
    <xf numFmtId="0" fontId="0" fillId="0" borderId="0" xfId="0" applyFill="1" applyAlignment="1"/>
    <xf numFmtId="0" fontId="0" fillId="0" borderId="0" xfId="0" applyFill="1" applyAlignment="1">
      <alignment wrapText="1"/>
    </xf>
    <xf numFmtId="44" fontId="0" fillId="0" borderId="1" xfId="0" applyNumberFormat="1" applyFill="1" applyBorder="1" applyAlignment="1"/>
    <xf numFmtId="165" fontId="8" fillId="0" borderId="0" xfId="3" applyNumberFormat="1" applyFont="1" applyFill="1" applyBorder="1" applyAlignment="1">
      <alignment horizontal="left" vertical="center" wrapText="1"/>
    </xf>
    <xf numFmtId="165" fontId="8" fillId="0" borderId="7" xfId="3" applyNumberFormat="1" applyFont="1" applyFill="1" applyBorder="1" applyAlignment="1">
      <alignment horizontal="left" vertical="center" wrapText="1"/>
    </xf>
    <xf numFmtId="44" fontId="0" fillId="0" borderId="0" xfId="1" applyFont="1" applyBorder="1" applyAlignment="1">
      <alignment horizontal="center" wrapText="1"/>
    </xf>
    <xf numFmtId="0" fontId="3" fillId="0" borderId="0" xfId="2" applyAlignment="1"/>
    <xf numFmtId="44" fontId="0" fillId="0" borderId="1" xfId="1" applyFont="1" applyFill="1" applyBorder="1" applyAlignment="1"/>
    <xf numFmtId="0" fontId="3" fillId="0" borderId="0" xfId="2" applyFill="1"/>
    <xf numFmtId="0" fontId="74" fillId="0" borderId="0" xfId="2105" applyBorder="1" applyAlignment="1">
      <alignment horizontal="center" wrapText="1"/>
    </xf>
    <xf numFmtId="0" fontId="80" fillId="0" borderId="0" xfId="0" applyFont="1" applyAlignment="1">
      <alignment vertical="center"/>
    </xf>
    <xf numFmtId="0" fontId="86" fillId="0" borderId="12" xfId="0" applyFont="1" applyBorder="1" applyAlignment="1">
      <alignment horizontal="center" vertical="center" wrapText="1"/>
    </xf>
    <xf numFmtId="8" fontId="82" fillId="0" borderId="24" xfId="0" applyNumberFormat="1" applyFont="1" applyBorder="1" applyAlignment="1">
      <alignment horizontal="center" vertical="center" wrapText="1"/>
    </xf>
    <xf numFmtId="0" fontId="82" fillId="0" borderId="24" xfId="0" applyFont="1" applyBorder="1" applyAlignment="1">
      <alignment vertical="center" wrapText="1"/>
    </xf>
    <xf numFmtId="8" fontId="86" fillId="0" borderId="24" xfId="0" applyNumberFormat="1" applyFont="1" applyBorder="1" applyAlignment="1">
      <alignment horizontal="center" vertical="center" wrapText="1"/>
    </xf>
    <xf numFmtId="0" fontId="88" fillId="68" borderId="89" xfId="0" applyFont="1" applyFill="1" applyBorder="1" applyAlignment="1">
      <alignment horizontal="center" vertical="center" wrapText="1"/>
    </xf>
    <xf numFmtId="0" fontId="88" fillId="68" borderId="90" xfId="0" applyFont="1" applyFill="1" applyBorder="1" applyAlignment="1">
      <alignment horizontal="center" vertical="center" wrapText="1"/>
    </xf>
    <xf numFmtId="0" fontId="88" fillId="68" borderId="89" xfId="0" applyFont="1" applyFill="1" applyBorder="1" applyAlignment="1">
      <alignment horizontal="center" vertical="center"/>
    </xf>
    <xf numFmtId="0" fontId="88" fillId="68" borderId="90" xfId="0" applyFont="1" applyFill="1" applyBorder="1" applyAlignment="1">
      <alignment horizontal="center" vertical="center"/>
    </xf>
    <xf numFmtId="0" fontId="89" fillId="69" borderId="91" xfId="0" applyFont="1" applyFill="1" applyBorder="1" applyAlignment="1">
      <alignment horizontal="center" vertical="center" wrapText="1"/>
    </xf>
    <xf numFmtId="0" fontId="89" fillId="69" borderId="90" xfId="0" applyFont="1" applyFill="1" applyBorder="1" applyAlignment="1">
      <alignment horizontal="center" vertical="center" wrapText="1"/>
    </xf>
    <xf numFmtId="0" fontId="89" fillId="69" borderId="91" xfId="0" applyFont="1" applyFill="1" applyBorder="1" applyAlignment="1">
      <alignment horizontal="center" vertical="center"/>
    </xf>
    <xf numFmtId="0" fontId="89" fillId="69" borderId="90" xfId="0" applyFont="1" applyFill="1" applyBorder="1" applyAlignment="1">
      <alignment horizontal="center" vertical="center"/>
    </xf>
    <xf numFmtId="0" fontId="89" fillId="70" borderId="91" xfId="0" applyFont="1" applyFill="1" applyBorder="1" applyAlignment="1">
      <alignment horizontal="center" vertical="center" wrapText="1"/>
    </xf>
    <xf numFmtId="0" fontId="89" fillId="70" borderId="90" xfId="0" applyFont="1" applyFill="1" applyBorder="1" applyAlignment="1">
      <alignment horizontal="center" vertical="center" wrapText="1"/>
    </xf>
    <xf numFmtId="0" fontId="89" fillId="71" borderId="91" xfId="0" applyFont="1" applyFill="1" applyBorder="1" applyAlignment="1">
      <alignment horizontal="center" vertical="center" wrapText="1"/>
    </xf>
    <xf numFmtId="0" fontId="89" fillId="71" borderId="90" xfId="0" applyFont="1" applyFill="1" applyBorder="1" applyAlignment="1">
      <alignment horizontal="center" vertical="center" wrapText="1"/>
    </xf>
    <xf numFmtId="0" fontId="86" fillId="0" borderId="62" xfId="0" applyFont="1" applyBorder="1" applyAlignment="1">
      <alignment horizontal="center" vertical="center" wrapText="1"/>
    </xf>
    <xf numFmtId="0" fontId="86" fillId="0" borderId="24" xfId="0" applyFont="1" applyBorder="1" applyAlignment="1">
      <alignment horizontal="center" vertical="center" wrapText="1"/>
    </xf>
    <xf numFmtId="0" fontId="81" fillId="0" borderId="26" xfId="0" applyFont="1" applyBorder="1" applyAlignment="1">
      <alignment vertical="center" wrapText="1"/>
    </xf>
    <xf numFmtId="0" fontId="81" fillId="0" borderId="24" xfId="0" applyFont="1" applyBorder="1" applyAlignment="1">
      <alignment vertical="center" wrapText="1"/>
    </xf>
    <xf numFmtId="0" fontId="84" fillId="0" borderId="0" xfId="0" applyFont="1" applyAlignment="1">
      <alignment horizontal="left" vertical="center"/>
    </xf>
    <xf numFmtId="0" fontId="82" fillId="0" borderId="0" xfId="0" applyFont="1" applyAlignment="1">
      <alignment horizontal="left" vertical="center"/>
    </xf>
    <xf numFmtId="0" fontId="83" fillId="0" borderId="0" xfId="0" applyFont="1" applyAlignment="1">
      <alignment horizontal="left" vertical="center"/>
    </xf>
    <xf numFmtId="0" fontId="86" fillId="0" borderId="25" xfId="0" applyFont="1" applyBorder="1" applyAlignment="1">
      <alignment horizontal="left" vertical="center" wrapText="1"/>
    </xf>
    <xf numFmtId="0" fontId="87" fillId="0" borderId="26" xfId="0" applyFont="1" applyBorder="1" applyAlignment="1">
      <alignment horizontal="left" vertical="center" wrapText="1"/>
    </xf>
    <xf numFmtId="0" fontId="82" fillId="0" borderId="26" xfId="0" applyFont="1" applyBorder="1" applyAlignment="1">
      <alignment horizontal="left" vertical="center" wrapText="1"/>
    </xf>
    <xf numFmtId="0" fontId="81" fillId="0" borderId="26" xfId="0" applyFont="1" applyBorder="1" applyAlignment="1">
      <alignment horizontal="left" vertical="center" wrapText="1"/>
    </xf>
    <xf numFmtId="0" fontId="81" fillId="0" borderId="25" xfId="0" applyFont="1" applyBorder="1" applyAlignment="1">
      <alignment horizontal="left" vertical="center" wrapText="1"/>
    </xf>
    <xf numFmtId="0" fontId="0" fillId="0" borderId="0" xfId="0" applyAlignment="1">
      <alignment horizontal="left"/>
    </xf>
    <xf numFmtId="0" fontId="90" fillId="0" borderId="0" xfId="0" applyFont="1" applyAlignment="1">
      <alignment horizontal="left" vertical="center"/>
    </xf>
    <xf numFmtId="44" fontId="0" fillId="0" borderId="0" xfId="1" applyFont="1" applyAlignment="1">
      <alignment horizontal="left"/>
    </xf>
    <xf numFmtId="44" fontId="93" fillId="0" borderId="1" xfId="1" applyFont="1" applyFill="1" applyBorder="1" applyAlignment="1"/>
    <xf numFmtId="44" fontId="92" fillId="0" borderId="1" xfId="1" applyFont="1" applyBorder="1" applyAlignment="1"/>
    <xf numFmtId="44" fontId="75" fillId="0" borderId="1" xfId="1" applyFont="1" applyFill="1" applyBorder="1" applyAlignment="1"/>
    <xf numFmtId="44" fontId="75" fillId="0" borderId="1" xfId="0" applyNumberFormat="1" applyFont="1" applyFill="1" applyBorder="1" applyAlignment="1"/>
    <xf numFmtId="44" fontId="94" fillId="0" borderId="0" xfId="1" applyFont="1" applyAlignment="1"/>
    <xf numFmtId="44" fontId="94" fillId="0" borderId="0" xfId="1" applyFont="1" applyAlignment="1">
      <alignment horizontal="left"/>
    </xf>
    <xf numFmtId="44" fontId="92" fillId="0" borderId="1" xfId="1" applyFont="1" applyFill="1" applyBorder="1" applyAlignment="1">
      <alignment horizontal="center" wrapText="1"/>
    </xf>
    <xf numFmtId="44" fontId="92" fillId="0" borderId="1" xfId="1" applyFont="1" applyBorder="1" applyAlignment="1">
      <alignment horizontal="center" wrapText="1"/>
    </xf>
    <xf numFmtId="0" fontId="95" fillId="0" borderId="0" xfId="0" applyFont="1" applyBorder="1" applyAlignment="1">
      <alignment horizontal="center" vertical="center"/>
    </xf>
    <xf numFmtId="169" fontId="97" fillId="0" borderId="0" xfId="0" applyNumberFormat="1" applyFont="1" applyBorder="1" applyAlignment="1">
      <alignment vertical="center"/>
    </xf>
    <xf numFmtId="9" fontId="97" fillId="0" borderId="0" xfId="2109" applyFont="1" applyBorder="1" applyAlignment="1">
      <alignment vertical="center"/>
    </xf>
    <xf numFmtId="171" fontId="97" fillId="0" borderId="0" xfId="3" applyNumberFormat="1" applyFont="1" applyBorder="1" applyAlignment="1">
      <alignment vertical="center"/>
    </xf>
    <xf numFmtId="170" fontId="97" fillId="0" borderId="0" xfId="3" applyNumberFormat="1" applyFont="1" applyBorder="1" applyAlignment="1">
      <alignment vertical="center"/>
    </xf>
    <xf numFmtId="43" fontId="98" fillId="0" borderId="0" xfId="3" applyFont="1" applyBorder="1" applyAlignment="1">
      <alignment vertical="center"/>
    </xf>
    <xf numFmtId="2" fontId="96" fillId="0" borderId="65" xfId="0" applyNumberFormat="1" applyFont="1" applyBorder="1" applyAlignment="1">
      <alignment horizontal="left" vertical="center" indent="1"/>
    </xf>
    <xf numFmtId="169" fontId="97" fillId="0" borderId="23" xfId="0" applyNumberFormat="1" applyFont="1" applyBorder="1" applyAlignment="1">
      <alignment vertical="center"/>
    </xf>
    <xf numFmtId="9" fontId="97" fillId="0" borderId="23" xfId="2109" applyFont="1" applyBorder="1" applyAlignment="1">
      <alignment vertical="center"/>
    </xf>
    <xf numFmtId="171" fontId="97" fillId="0" borderId="23" xfId="3" applyNumberFormat="1" applyFont="1" applyBorder="1" applyAlignment="1">
      <alignment horizontal="right" vertical="center"/>
    </xf>
    <xf numFmtId="170" fontId="97" fillId="0" borderId="23" xfId="3" applyNumberFormat="1" applyFont="1" applyBorder="1" applyAlignment="1">
      <alignment vertical="center"/>
    </xf>
    <xf numFmtId="2" fontId="99" fillId="0" borderId="65" xfId="0" applyNumberFormat="1" applyFont="1" applyBorder="1" applyAlignment="1">
      <alignment horizontal="left" vertical="center" indent="1"/>
    </xf>
    <xf numFmtId="43" fontId="98" fillId="0" borderId="23" xfId="3" applyFont="1" applyBorder="1" applyAlignment="1">
      <alignment vertical="center"/>
    </xf>
    <xf numFmtId="9" fontId="75" fillId="0" borderId="1" xfId="2109" applyFont="1" applyFill="1" applyBorder="1" applyAlignment="1"/>
    <xf numFmtId="172" fontId="75" fillId="0" borderId="1" xfId="3" applyNumberFormat="1" applyFont="1" applyFill="1" applyBorder="1" applyAlignment="1"/>
    <xf numFmtId="6" fontId="56" fillId="0" borderId="0" xfId="1" quotePrefix="1" applyNumberFormat="1" applyFont="1" applyBorder="1" applyAlignment="1"/>
    <xf numFmtId="44" fontId="92" fillId="0" borderId="0" xfId="1" applyFont="1" applyFill="1" applyBorder="1" applyAlignment="1"/>
    <xf numFmtId="44" fontId="75" fillId="0" borderId="0" xfId="1" applyFont="1" applyFill="1" applyBorder="1" applyAlignment="1"/>
    <xf numFmtId="44" fontId="75" fillId="0" borderId="0" xfId="0" applyNumberFormat="1" applyFont="1" applyFill="1" applyBorder="1" applyAlignment="1"/>
    <xf numFmtId="44" fontId="75" fillId="0" borderId="0" xfId="1" applyFont="1" applyBorder="1" applyAlignment="1">
      <alignment horizontal="right"/>
    </xf>
    <xf numFmtId="44" fontId="92" fillId="0" borderId="0" xfId="1" applyFont="1" applyFill="1" applyBorder="1" applyAlignment="1">
      <alignment horizontal="left" vertical="center" wrapText="1"/>
    </xf>
    <xf numFmtId="44" fontId="75" fillId="0" borderId="1" xfId="1" applyFont="1" applyBorder="1" applyAlignment="1">
      <alignment horizontal="right"/>
    </xf>
    <xf numFmtId="44" fontId="75" fillId="0" borderId="1" xfId="1" applyFont="1" applyBorder="1" applyAlignment="1"/>
    <xf numFmtId="44" fontId="100" fillId="0" borderId="1" xfId="1" applyFont="1" applyBorder="1" applyAlignment="1">
      <alignment horizontal="center" wrapText="1"/>
    </xf>
    <xf numFmtId="44" fontId="91" fillId="0" borderId="1" xfId="1" applyFont="1" applyBorder="1" applyAlignment="1">
      <alignment horizontal="center" wrapText="1"/>
    </xf>
    <xf numFmtId="44" fontId="91" fillId="0" borderId="1" xfId="1" applyFont="1" applyFill="1" applyBorder="1" applyAlignment="1">
      <alignment horizontal="center" wrapText="1"/>
    </xf>
    <xf numFmtId="44" fontId="101" fillId="0" borderId="1" xfId="1" applyFont="1" applyBorder="1" applyAlignment="1">
      <alignment horizontal="center" wrapText="1"/>
    </xf>
    <xf numFmtId="2" fontId="100" fillId="0" borderId="1" xfId="0" applyNumberFormat="1" applyFont="1" applyBorder="1" applyAlignment="1">
      <alignment horizontal="left" vertical="center" wrapText="1" indent="1"/>
    </xf>
    <xf numFmtId="44" fontId="92" fillId="65" borderId="1" xfId="1" applyFont="1" applyFill="1" applyBorder="1" applyAlignment="1">
      <alignment horizontal="center" wrapText="1"/>
    </xf>
    <xf numFmtId="44" fontId="75" fillId="65" borderId="1" xfId="1" applyFont="1" applyFill="1" applyBorder="1" applyAlignment="1"/>
    <xf numFmtId="44" fontId="92" fillId="65" borderId="1" xfId="1" applyFont="1" applyFill="1" applyBorder="1" applyAlignment="1"/>
    <xf numFmtId="44" fontId="75" fillId="65" borderId="1" xfId="1" applyFont="1" applyFill="1" applyBorder="1"/>
    <xf numFmtId="44" fontId="92" fillId="0" borderId="9" xfId="1" applyFont="1" applyFill="1" applyBorder="1" applyAlignment="1">
      <alignment vertical="center" wrapText="1"/>
    </xf>
    <xf numFmtId="44" fontId="92" fillId="0" borderId="84" xfId="1" applyFont="1" applyFill="1" applyBorder="1" applyAlignment="1">
      <alignment vertical="center" wrapText="1"/>
    </xf>
    <xf numFmtId="44" fontId="92" fillId="0" borderId="0" xfId="1" applyFont="1" applyFill="1" applyBorder="1" applyAlignment="1">
      <alignment vertical="center" wrapText="1"/>
    </xf>
    <xf numFmtId="0" fontId="74" fillId="0" borderId="65" xfId="2105" applyBorder="1" applyAlignment="1">
      <alignment horizontal="left" wrapText="1"/>
    </xf>
    <xf numFmtId="0" fontId="74" fillId="0" borderId="0" xfId="2105" applyBorder="1" applyAlignment="1">
      <alignment horizontal="left" wrapText="1"/>
    </xf>
    <xf numFmtId="0" fontId="74" fillId="0" borderId="23" xfId="2105" applyBorder="1" applyAlignment="1">
      <alignment horizontal="left" wrapText="1"/>
    </xf>
    <xf numFmtId="0" fontId="74" fillId="0" borderId="63" xfId="2105" applyBorder="1" applyAlignment="1">
      <alignment horizontal="left" wrapText="1"/>
    </xf>
    <xf numFmtId="0" fontId="74" fillId="0" borderId="76" xfId="2105" applyBorder="1" applyAlignment="1">
      <alignment horizontal="left" wrapText="1"/>
    </xf>
    <xf numFmtId="0" fontId="74" fillId="0" borderId="24" xfId="2105" applyBorder="1" applyAlignment="1">
      <alignment horizontal="left" wrapText="1"/>
    </xf>
    <xf numFmtId="0" fontId="95" fillId="0" borderId="17" xfId="0" applyFont="1" applyBorder="1" applyAlignment="1">
      <alignment horizontal="center" vertical="center"/>
    </xf>
    <xf numFmtId="0" fontId="95" fillId="0" borderId="16" xfId="0" applyFont="1" applyBorder="1" applyAlignment="1">
      <alignment horizontal="center" vertical="center"/>
    </xf>
    <xf numFmtId="44" fontId="0" fillId="65" borderId="0" xfId="1" applyFont="1" applyFill="1" applyAlignment="1"/>
    <xf numFmtId="44" fontId="56" fillId="65" borderId="0" xfId="1" applyFont="1" applyFill="1" applyBorder="1" applyAlignment="1"/>
    <xf numFmtId="44" fontId="56" fillId="65" borderId="1" xfId="1" applyFont="1" applyFill="1" applyBorder="1" applyAlignment="1">
      <alignment horizontal="center"/>
    </xf>
    <xf numFmtId="44" fontId="91" fillId="65" borderId="1" xfId="1" applyFont="1" applyFill="1" applyBorder="1" applyAlignment="1">
      <alignment horizontal="center" wrapText="1"/>
    </xf>
    <xf numFmtId="44" fontId="93" fillId="0" borderId="1" xfId="0" applyNumberFormat="1" applyFont="1" applyBorder="1" applyAlignment="1"/>
    <xf numFmtId="9" fontId="93" fillId="0" borderId="1" xfId="2109" applyFont="1" applyFill="1" applyBorder="1" applyAlignment="1"/>
    <xf numFmtId="172" fontId="93" fillId="0" borderId="1" xfId="3" applyNumberFormat="1" applyFont="1" applyFill="1" applyBorder="1" applyAlignment="1"/>
    <xf numFmtId="0" fontId="104" fillId="0" borderId="0" xfId="2105" applyFont="1" applyAlignment="1"/>
    <xf numFmtId="44" fontId="93" fillId="0" borderId="0" xfId="1" applyFont="1" applyFill="1" applyBorder="1" applyAlignment="1"/>
    <xf numFmtId="9" fontId="93" fillId="0" borderId="0" xfId="2109" applyFont="1" applyFill="1" applyBorder="1" applyAlignment="1"/>
    <xf numFmtId="172" fontId="93" fillId="0" borderId="0" xfId="3" applyNumberFormat="1" applyFont="1" applyFill="1" applyBorder="1" applyAlignment="1"/>
    <xf numFmtId="44" fontId="91" fillId="65" borderId="27" xfId="1" applyFont="1" applyFill="1" applyBorder="1" applyAlignment="1">
      <alignment horizontal="center" wrapText="1"/>
    </xf>
    <xf numFmtId="44" fontId="91" fillId="65" borderId="80" xfId="1" applyFont="1" applyFill="1" applyBorder="1" applyAlignment="1">
      <alignment horizontal="center" wrapText="1"/>
    </xf>
    <xf numFmtId="44" fontId="93" fillId="65" borderId="27" xfId="1" applyFont="1" applyFill="1" applyBorder="1" applyAlignment="1"/>
    <xf numFmtId="44" fontId="92" fillId="65" borderId="6" xfId="1" applyFont="1" applyFill="1" applyBorder="1" applyAlignment="1">
      <alignment horizontal="center" wrapText="1"/>
    </xf>
    <xf numFmtId="44" fontId="75" fillId="65" borderId="6" xfId="1" applyFont="1" applyFill="1" applyBorder="1" applyAlignment="1"/>
    <xf numFmtId="8" fontId="75" fillId="0" borderId="1" xfId="1" applyNumberFormat="1" applyFont="1" applyFill="1" applyBorder="1" applyAlignment="1"/>
    <xf numFmtId="44" fontId="75" fillId="65" borderId="1" xfId="1" applyFont="1" applyFill="1" applyBorder="1" applyAlignment="1">
      <alignment wrapText="1"/>
    </xf>
    <xf numFmtId="8" fontId="0" fillId="0" borderId="0" xfId="1" applyNumberFormat="1" applyFont="1" applyAlignment="1"/>
    <xf numFmtId="2" fontId="100" fillId="0" borderId="1" xfId="0" applyNumberFormat="1" applyFont="1" applyBorder="1" applyAlignment="1">
      <alignment horizontal="left" wrapText="1"/>
    </xf>
    <xf numFmtId="44" fontId="92" fillId="0" borderId="1" xfId="1" applyFont="1" applyBorder="1" applyAlignment="1">
      <alignment horizontal="center"/>
    </xf>
    <xf numFmtId="2" fontId="100" fillId="0" borderId="1" xfId="0" applyNumberFormat="1" applyFont="1" applyBorder="1" applyAlignment="1">
      <alignment horizontal="center" wrapText="1"/>
    </xf>
    <xf numFmtId="0" fontId="77" fillId="73" borderId="1" xfId="18" applyFont="1" applyFill="1" applyBorder="1" applyAlignment="1">
      <alignment horizontal="left" vertical="center" wrapText="1"/>
    </xf>
    <xf numFmtId="0" fontId="77" fillId="73" borderId="78" xfId="18" applyFont="1" applyFill="1" applyBorder="1" applyAlignment="1">
      <alignment horizontal="left" vertical="center" wrapText="1"/>
    </xf>
    <xf numFmtId="0" fontId="77" fillId="73" borderId="78" xfId="18" applyFont="1" applyFill="1" applyBorder="1" applyAlignment="1">
      <alignment horizontal="center" vertical="center"/>
    </xf>
    <xf numFmtId="0" fontId="77" fillId="73" borderId="1" xfId="18" applyFont="1" applyFill="1" applyBorder="1" applyAlignment="1">
      <alignment horizontal="center" vertical="center"/>
    </xf>
    <xf numFmtId="0" fontId="77" fillId="73" borderId="82" xfId="18" applyFont="1" applyFill="1" applyBorder="1" applyAlignment="1">
      <alignment horizontal="center" vertical="center"/>
    </xf>
    <xf numFmtId="0" fontId="77" fillId="73" borderId="82" xfId="18" applyFont="1" applyFill="1" applyBorder="1" applyAlignment="1">
      <alignment horizontal="left" vertical="center" wrapText="1"/>
    </xf>
    <xf numFmtId="44" fontId="92" fillId="65" borderId="27" xfId="1" applyFont="1" applyFill="1" applyBorder="1" applyAlignment="1">
      <alignment horizontal="center" wrapText="1"/>
    </xf>
    <xf numFmtId="44" fontId="92" fillId="65" borderId="80" xfId="1" applyFont="1" applyFill="1" applyBorder="1" applyAlignment="1">
      <alignment horizontal="center" wrapText="1"/>
    </xf>
    <xf numFmtId="0" fontId="107" fillId="75" borderId="94" xfId="18" applyFont="1" applyFill="1" applyBorder="1" applyAlignment="1">
      <alignment wrapText="1"/>
    </xf>
    <xf numFmtId="0" fontId="78" fillId="75" borderId="2" xfId="18" applyFont="1" applyFill="1" applyBorder="1" applyAlignment="1">
      <alignment horizontal="center" wrapText="1"/>
    </xf>
    <xf numFmtId="0" fontId="78" fillId="75" borderId="20" xfId="18" applyFont="1" applyFill="1" applyBorder="1" applyAlignment="1">
      <alignment horizontal="center" wrapText="1"/>
    </xf>
    <xf numFmtId="0" fontId="93" fillId="0" borderId="3" xfId="2105" applyFont="1" applyFill="1" applyBorder="1" applyAlignment="1">
      <alignment horizontal="left" vertical="center"/>
    </xf>
    <xf numFmtId="0" fontId="74" fillId="0" borderId="0" xfId="2105" applyFill="1" applyAlignment="1"/>
    <xf numFmtId="8" fontId="106" fillId="0" borderId="0" xfId="2105" applyNumberFormat="1" applyFont="1" applyFill="1" applyBorder="1" applyAlignment="1">
      <alignment horizontal="right" vertical="center"/>
    </xf>
    <xf numFmtId="0" fontId="93" fillId="0" borderId="0" xfId="2105" applyFont="1" applyFill="1" applyBorder="1" applyAlignment="1"/>
    <xf numFmtId="44" fontId="93" fillId="0" borderId="0" xfId="2105" applyNumberFormat="1" applyFont="1" applyFill="1" applyBorder="1" applyAlignment="1"/>
    <xf numFmtId="44" fontId="93" fillId="0" borderId="0" xfId="0" applyNumberFormat="1" applyFont="1" applyFill="1" applyBorder="1" applyAlignment="1"/>
    <xf numFmtId="0" fontId="93" fillId="0" borderId="3" xfId="2105" applyFont="1" applyFill="1" applyBorder="1" applyAlignment="1"/>
    <xf numFmtId="44" fontId="93" fillId="0" borderId="6" xfId="1" applyFont="1" applyFill="1" applyBorder="1" applyAlignment="1"/>
    <xf numFmtId="44" fontId="93" fillId="0" borderId="80" xfId="1" applyFont="1" applyFill="1" applyBorder="1" applyAlignment="1"/>
    <xf numFmtId="0" fontId="105" fillId="0" borderId="65" xfId="2105" applyFont="1" applyFill="1" applyBorder="1" applyAlignment="1">
      <alignment horizontal="left" vertical="center"/>
    </xf>
    <xf numFmtId="44" fontId="93" fillId="0" borderId="23" xfId="1" applyFont="1" applyFill="1" applyBorder="1" applyAlignment="1"/>
    <xf numFmtId="0" fontId="105" fillId="0" borderId="63" xfId="2105" applyFont="1" applyFill="1" applyBorder="1" applyAlignment="1">
      <alignment horizontal="left" vertical="center"/>
    </xf>
    <xf numFmtId="0" fontId="93" fillId="0" borderId="76" xfId="0" applyFont="1" applyFill="1" applyBorder="1"/>
    <xf numFmtId="8" fontId="106" fillId="0" borderId="76" xfId="2105" applyNumberFormat="1" applyFont="1" applyFill="1" applyBorder="1" applyAlignment="1">
      <alignment horizontal="right" vertical="center"/>
    </xf>
    <xf numFmtId="0" fontId="93" fillId="0" borderId="76" xfId="2105" applyFont="1" applyFill="1" applyBorder="1" applyAlignment="1"/>
    <xf numFmtId="44" fontId="93" fillId="0" borderId="76" xfId="2105" applyNumberFormat="1" applyFont="1" applyFill="1" applyBorder="1" applyAlignment="1"/>
    <xf numFmtId="44" fontId="93" fillId="0" borderId="76" xfId="1" applyFont="1" applyFill="1" applyBorder="1" applyAlignment="1"/>
    <xf numFmtId="44" fontId="93" fillId="0" borderId="76" xfId="0" applyNumberFormat="1" applyFont="1" applyFill="1" applyBorder="1" applyAlignment="1"/>
    <xf numFmtId="9" fontId="93" fillId="0" borderId="76" xfId="2109" applyFont="1" applyFill="1" applyBorder="1" applyAlignment="1"/>
    <xf numFmtId="172" fontId="93" fillId="0" borderId="76" xfId="3" applyNumberFormat="1" applyFont="1" applyFill="1" applyBorder="1" applyAlignment="1"/>
    <xf numFmtId="44" fontId="93" fillId="0" borderId="24" xfId="1" applyFont="1" applyFill="1" applyBorder="1" applyAlignment="1"/>
    <xf numFmtId="0" fontId="91" fillId="0" borderId="65" xfId="2105" applyFont="1" applyFill="1" applyBorder="1" applyAlignment="1"/>
    <xf numFmtId="0" fontId="74" fillId="0" borderId="0" xfId="2105" applyFill="1" applyBorder="1" applyAlignment="1"/>
    <xf numFmtId="0" fontId="74" fillId="0" borderId="0" xfId="2105" applyBorder="1" applyAlignment="1"/>
    <xf numFmtId="0" fontId="91" fillId="0" borderId="63" xfId="2105" applyFont="1" applyFill="1" applyBorder="1" applyAlignment="1"/>
    <xf numFmtId="0" fontId="0" fillId="0" borderId="76" xfId="0" applyFill="1" applyBorder="1"/>
    <xf numFmtId="0" fontId="0" fillId="0" borderId="76" xfId="0" applyBorder="1"/>
    <xf numFmtId="0" fontId="91" fillId="0" borderId="0" xfId="2105" applyFont="1" applyFill="1" applyBorder="1" applyAlignment="1"/>
    <xf numFmtId="0" fontId="93" fillId="0" borderId="0" xfId="0" applyFont="1" applyFill="1" applyBorder="1"/>
    <xf numFmtId="44" fontId="93" fillId="65" borderId="13" xfId="2105" applyNumberFormat="1" applyFont="1" applyFill="1" applyBorder="1" applyAlignment="1"/>
    <xf numFmtId="44" fontId="93" fillId="65" borderId="12" xfId="2105" applyNumberFormat="1" applyFont="1" applyFill="1" applyBorder="1" applyAlignment="1"/>
    <xf numFmtId="44" fontId="93" fillId="65" borderId="14" xfId="2105" applyNumberFormat="1" applyFont="1" applyFill="1" applyBorder="1" applyAlignment="1"/>
    <xf numFmtId="44" fontId="91" fillId="65" borderId="6" xfId="1" applyFont="1" applyFill="1" applyBorder="1" applyAlignment="1">
      <alignment horizontal="center" wrapText="1"/>
    </xf>
    <xf numFmtId="0" fontId="91" fillId="65" borderId="61" xfId="2105" applyFont="1" applyFill="1" applyBorder="1" applyAlignment="1"/>
    <xf numFmtId="0" fontId="91" fillId="65" borderId="22" xfId="2105" applyFont="1" applyFill="1" applyBorder="1" applyAlignment="1"/>
    <xf numFmtId="0" fontId="105" fillId="65" borderId="22" xfId="2105" applyFont="1" applyFill="1" applyBorder="1" applyAlignment="1">
      <alignment wrapText="1"/>
    </xf>
    <xf numFmtId="0" fontId="74" fillId="65" borderId="22" xfId="2105" applyFill="1" applyBorder="1" applyAlignment="1"/>
    <xf numFmtId="0" fontId="74" fillId="65" borderId="62" xfId="2105" applyFill="1" applyBorder="1" applyAlignment="1"/>
    <xf numFmtId="0" fontId="78" fillId="75" borderId="97" xfId="18" applyFont="1" applyFill="1" applyBorder="1" applyAlignment="1">
      <alignment horizontal="center" wrapText="1"/>
    </xf>
    <xf numFmtId="0" fontId="78" fillId="75" borderId="21" xfId="18" applyFont="1" applyFill="1" applyBorder="1" applyAlignment="1">
      <alignment horizontal="center" wrapText="1"/>
    </xf>
    <xf numFmtId="44" fontId="92" fillId="75" borderId="21" xfId="1" applyFont="1" applyFill="1" applyBorder="1" applyAlignment="1">
      <alignment horizontal="center" wrapText="1"/>
    </xf>
    <xf numFmtId="44" fontId="92" fillId="75" borderId="2" xfId="1" applyFont="1" applyFill="1" applyBorder="1" applyAlignment="1">
      <alignment horizontal="center" wrapText="1"/>
    </xf>
    <xf numFmtId="0" fontId="108" fillId="74" borderId="78" xfId="0" applyFont="1" applyFill="1" applyBorder="1" applyAlignment="1">
      <alignment horizontal="left" vertical="center" wrapText="1"/>
    </xf>
    <xf numFmtId="0" fontId="108" fillId="74" borderId="79" xfId="0" applyFont="1" applyFill="1" applyBorder="1" applyAlignment="1">
      <alignment horizontal="left" vertical="center" wrapText="1"/>
    </xf>
    <xf numFmtId="0" fontId="108" fillId="74" borderId="1" xfId="0" applyFont="1" applyFill="1" applyBorder="1" applyAlignment="1">
      <alignment horizontal="left" vertical="center" wrapText="1"/>
    </xf>
    <xf numFmtId="0" fontId="108" fillId="74" borderId="80" xfId="0" applyFont="1" applyFill="1" applyBorder="1" applyAlignment="1">
      <alignment horizontal="left" vertical="center" wrapText="1"/>
    </xf>
    <xf numFmtId="0" fontId="108" fillId="74" borderId="82" xfId="0" applyFont="1" applyFill="1" applyBorder="1" applyAlignment="1">
      <alignment horizontal="left" vertical="center" wrapText="1"/>
    </xf>
    <xf numFmtId="0" fontId="108" fillId="74" borderId="83" xfId="0" applyFont="1" applyFill="1" applyBorder="1" applyAlignment="1">
      <alignment horizontal="left" vertical="center" wrapText="1"/>
    </xf>
    <xf numFmtId="44" fontId="108" fillId="74" borderId="78" xfId="0" applyNumberFormat="1" applyFont="1" applyFill="1" applyBorder="1" applyAlignment="1">
      <alignment horizontal="left" vertical="center" wrapText="1"/>
    </xf>
    <xf numFmtId="44" fontId="108" fillId="74" borderId="79" xfId="0" applyNumberFormat="1" applyFont="1" applyFill="1" applyBorder="1" applyAlignment="1">
      <alignment horizontal="left" vertical="center" wrapText="1"/>
    </xf>
    <xf numFmtId="44" fontId="108" fillId="74" borderId="1" xfId="1" applyFont="1" applyFill="1" applyBorder="1" applyAlignment="1">
      <alignment horizontal="left" vertical="center" wrapText="1"/>
    </xf>
    <xf numFmtId="44" fontId="108" fillId="74" borderId="80" xfId="0" applyNumberFormat="1" applyFont="1" applyFill="1" applyBorder="1" applyAlignment="1">
      <alignment horizontal="left" vertical="center" wrapText="1"/>
    </xf>
    <xf numFmtId="44" fontId="108" fillId="74" borderId="80" xfId="1" applyFont="1" applyFill="1" applyBorder="1" applyAlignment="1">
      <alignment horizontal="left" vertical="center" wrapText="1"/>
    </xf>
    <xf numFmtId="44" fontId="108" fillId="74" borderId="82" xfId="1" applyFont="1" applyFill="1" applyBorder="1" applyAlignment="1">
      <alignment horizontal="left" vertical="center" wrapText="1"/>
    </xf>
    <xf numFmtId="44" fontId="108" fillId="74" borderId="83" xfId="1" applyFont="1" applyFill="1" applyBorder="1" applyAlignment="1">
      <alignment horizontal="left" vertical="center" wrapText="1"/>
    </xf>
    <xf numFmtId="44" fontId="108" fillId="74" borderId="78" xfId="1" applyFont="1" applyFill="1" applyBorder="1" applyAlignment="1">
      <alignment horizontal="left" vertical="center" wrapText="1"/>
    </xf>
    <xf numFmtId="44" fontId="108" fillId="74" borderId="79" xfId="1" applyFont="1" applyFill="1" applyBorder="1" applyAlignment="1">
      <alignment horizontal="left" vertical="center" wrapText="1"/>
    </xf>
    <xf numFmtId="0" fontId="108" fillId="74" borderId="78" xfId="0" applyFont="1" applyFill="1" applyBorder="1" applyAlignment="1">
      <alignment horizontal="center" vertical="center" wrapText="1"/>
    </xf>
    <xf numFmtId="44" fontId="108" fillId="65" borderId="77" xfId="0" applyNumberFormat="1" applyFont="1" applyFill="1" applyBorder="1" applyAlignment="1">
      <alignment horizontal="center" vertical="center"/>
    </xf>
    <xf numFmtId="44" fontId="108" fillId="65" borderId="78" xfId="0" applyNumberFormat="1" applyFont="1" applyFill="1" applyBorder="1" applyAlignment="1">
      <alignment horizontal="center" vertical="center"/>
    </xf>
    <xf numFmtId="0" fontId="108" fillId="74" borderId="1" xfId="0" applyFont="1" applyFill="1" applyBorder="1" applyAlignment="1">
      <alignment horizontal="center" vertical="center" wrapText="1"/>
    </xf>
    <xf numFmtId="44" fontId="108" fillId="65" borderId="27" xfId="0" applyNumberFormat="1" applyFont="1" applyFill="1" applyBorder="1" applyAlignment="1">
      <alignment horizontal="center" vertical="center"/>
    </xf>
    <xf numFmtId="44" fontId="108" fillId="65" borderId="1" xfId="0" applyNumberFormat="1" applyFont="1" applyFill="1" applyBorder="1" applyAlignment="1">
      <alignment horizontal="center" vertical="center"/>
    </xf>
    <xf numFmtId="0" fontId="108" fillId="65" borderId="27" xfId="0" applyFont="1" applyFill="1" applyBorder="1" applyAlignment="1">
      <alignment horizontal="center" vertical="center"/>
    </xf>
    <xf numFmtId="0" fontId="108" fillId="65" borderId="1" xfId="0" applyFont="1" applyFill="1" applyBorder="1" applyAlignment="1">
      <alignment horizontal="center" vertical="center"/>
    </xf>
    <xf numFmtId="0" fontId="108" fillId="74" borderId="82" xfId="0" applyFont="1" applyFill="1" applyBorder="1" applyAlignment="1">
      <alignment horizontal="center" vertical="center" wrapText="1"/>
    </xf>
    <xf numFmtId="0" fontId="108" fillId="65" borderId="81" xfId="0" applyFont="1" applyFill="1" applyBorder="1" applyAlignment="1">
      <alignment horizontal="center" vertical="center"/>
    </xf>
    <xf numFmtId="0" fontId="108" fillId="65" borderId="82" xfId="0" applyFont="1" applyFill="1" applyBorder="1" applyAlignment="1">
      <alignment horizontal="center" vertical="center"/>
    </xf>
    <xf numFmtId="0" fontId="108" fillId="65" borderId="77" xfId="0" applyFont="1" applyFill="1" applyBorder="1" applyAlignment="1">
      <alignment horizontal="center" vertical="center"/>
    </xf>
    <xf numFmtId="0" fontId="108" fillId="65" borderId="78" xfId="0" applyFont="1" applyFill="1" applyBorder="1" applyAlignment="1">
      <alignment horizontal="center" vertical="center"/>
    </xf>
    <xf numFmtId="44" fontId="108" fillId="65" borderId="81" xfId="0" applyNumberFormat="1" applyFont="1" applyFill="1" applyBorder="1" applyAlignment="1">
      <alignment horizontal="center" vertical="center"/>
    </xf>
    <xf numFmtId="44" fontId="108" fillId="65" borderId="82" xfId="0" applyNumberFormat="1" applyFont="1" applyFill="1" applyBorder="1" applyAlignment="1">
      <alignment horizontal="center" vertical="center"/>
    </xf>
    <xf numFmtId="44" fontId="108" fillId="74" borderId="78" xfId="0" applyNumberFormat="1" applyFont="1" applyFill="1" applyBorder="1" applyAlignment="1">
      <alignment horizontal="center" vertical="center" wrapText="1"/>
    </xf>
    <xf numFmtId="44" fontId="108" fillId="74" borderId="1" xfId="0" applyNumberFormat="1" applyFont="1" applyFill="1" applyBorder="1" applyAlignment="1">
      <alignment horizontal="center" vertical="center" wrapText="1"/>
    </xf>
    <xf numFmtId="0" fontId="77" fillId="73" borderId="79" xfId="18" applyFont="1" applyFill="1" applyBorder="1" applyAlignment="1">
      <alignment horizontal="right" vertical="center"/>
    </xf>
    <xf numFmtId="0" fontId="77" fillId="73" borderId="80" xfId="18" applyFont="1" applyFill="1" applyBorder="1" applyAlignment="1">
      <alignment horizontal="right" vertical="center"/>
    </xf>
    <xf numFmtId="0" fontId="77" fillId="73" borderId="83" xfId="18" applyFont="1" applyFill="1" applyBorder="1" applyAlignment="1">
      <alignment horizontal="right" vertical="center"/>
    </xf>
    <xf numFmtId="1" fontId="77" fillId="74" borderId="77" xfId="18" applyNumberFormat="1" applyFont="1" applyFill="1" applyBorder="1" applyAlignment="1">
      <alignment horizontal="right" vertical="center"/>
    </xf>
    <xf numFmtId="1" fontId="77" fillId="74" borderId="78" xfId="18" applyNumberFormat="1" applyFont="1" applyFill="1" applyBorder="1" applyAlignment="1">
      <alignment horizontal="right" vertical="center"/>
    </xf>
    <xf numFmtId="1" fontId="77" fillId="74" borderId="27" xfId="18" applyNumberFormat="1" applyFont="1" applyFill="1" applyBorder="1" applyAlignment="1">
      <alignment horizontal="right" vertical="center"/>
    </xf>
    <xf numFmtId="1" fontId="77" fillId="74" borderId="1" xfId="18" applyNumberFormat="1" applyFont="1" applyFill="1" applyBorder="1" applyAlignment="1">
      <alignment horizontal="right" vertical="center"/>
    </xf>
    <xf numFmtId="0" fontId="77" fillId="74" borderId="27" xfId="18" applyFont="1" applyFill="1" applyBorder="1" applyAlignment="1">
      <alignment horizontal="right" vertical="center"/>
    </xf>
    <xf numFmtId="0" fontId="77" fillId="74" borderId="1" xfId="18" applyFont="1" applyFill="1" applyBorder="1" applyAlignment="1">
      <alignment horizontal="right" vertical="center"/>
    </xf>
    <xf numFmtId="0" fontId="77" fillId="74" borderId="81" xfId="18" applyFont="1" applyFill="1" applyBorder="1" applyAlignment="1">
      <alignment horizontal="right" vertical="center"/>
    </xf>
    <xf numFmtId="0" fontId="77" fillId="74" borderId="82" xfId="18" applyFont="1" applyFill="1" applyBorder="1" applyAlignment="1">
      <alignment horizontal="right" vertical="center"/>
    </xf>
    <xf numFmtId="0" fontId="77" fillId="74" borderId="77" xfId="18" applyFont="1" applyFill="1" applyBorder="1" applyAlignment="1">
      <alignment horizontal="right" vertical="center"/>
    </xf>
    <xf numFmtId="0" fontId="77" fillId="74" borderId="78" xfId="18" applyFont="1" applyFill="1" applyBorder="1" applyAlignment="1">
      <alignment horizontal="right" vertical="center"/>
    </xf>
    <xf numFmtId="44" fontId="91" fillId="0" borderId="1" xfId="1" applyFont="1" applyBorder="1" applyAlignment="1"/>
    <xf numFmtId="2" fontId="101" fillId="0" borderId="1" xfId="0" applyNumberFormat="1" applyFont="1" applyBorder="1" applyAlignment="1">
      <alignment horizontal="left" vertical="center" wrapText="1" indent="1"/>
    </xf>
    <xf numFmtId="44" fontId="93" fillId="65" borderId="6" xfId="1" applyFont="1" applyFill="1" applyBorder="1" applyAlignment="1"/>
    <xf numFmtId="44" fontId="1" fillId="0" borderId="1" xfId="1" applyFont="1" applyFill="1" applyBorder="1" applyAlignment="1"/>
    <xf numFmtId="0" fontId="75" fillId="0" borderId="0" xfId="0" applyFont="1"/>
    <xf numFmtId="44" fontId="91" fillId="0" borderId="1" xfId="1" applyFont="1" applyFill="1" applyBorder="1" applyAlignment="1"/>
    <xf numFmtId="44" fontId="92" fillId="0" borderId="1" xfId="1" applyFont="1" applyFill="1" applyBorder="1" applyAlignment="1"/>
    <xf numFmtId="44" fontId="75" fillId="0" borderId="1" xfId="1" applyFont="1" applyBorder="1" applyAlignment="1">
      <alignment vertical="center"/>
    </xf>
    <xf numFmtId="44" fontId="75" fillId="0" borderId="1" xfId="1" applyFont="1" applyBorder="1" applyAlignment="1">
      <alignment vertical="center" wrapText="1"/>
    </xf>
    <xf numFmtId="44" fontId="75" fillId="0" borderId="0" xfId="1" applyFont="1" applyAlignment="1"/>
    <xf numFmtId="44" fontId="100" fillId="0" borderId="27" xfId="1" applyFont="1" applyBorder="1" applyAlignment="1">
      <alignment horizontal="center" wrapText="1"/>
    </xf>
    <xf numFmtId="44" fontId="92" fillId="0" borderId="80" xfId="1" applyFont="1" applyBorder="1" applyAlignment="1">
      <alignment horizontal="center" wrapText="1"/>
    </xf>
    <xf numFmtId="9" fontId="75" fillId="0" borderId="27" xfId="2109" applyFont="1" applyFill="1" applyBorder="1" applyAlignment="1"/>
    <xf numFmtId="44" fontId="75" fillId="0" borderId="80" xfId="1" applyFont="1" applyFill="1" applyBorder="1" applyAlignment="1"/>
    <xf numFmtId="44" fontId="92" fillId="0" borderId="27" xfId="1" applyFont="1" applyBorder="1" applyAlignment="1"/>
    <xf numFmtId="44" fontId="100" fillId="0" borderId="80" xfId="1" applyFont="1" applyBorder="1" applyAlignment="1">
      <alignment horizontal="center" wrapText="1"/>
    </xf>
    <xf numFmtId="44" fontId="0" fillId="0" borderId="27" xfId="0" applyNumberFormat="1" applyBorder="1" applyAlignment="1"/>
    <xf numFmtId="44" fontId="0" fillId="0" borderId="80" xfId="0" applyNumberFormat="1" applyBorder="1" applyAlignment="1"/>
    <xf numFmtId="44" fontId="75" fillId="65" borderId="27" xfId="1" applyFont="1" applyFill="1" applyBorder="1" applyAlignment="1"/>
    <xf numFmtId="44" fontId="75" fillId="65" borderId="18" xfId="1" applyFont="1" applyFill="1" applyBorder="1" applyAlignment="1"/>
    <xf numFmtId="44" fontId="92" fillId="0" borderId="80" xfId="1" applyFont="1" applyFill="1" applyBorder="1" applyAlignment="1"/>
    <xf numFmtId="44" fontId="75" fillId="0" borderId="27" xfId="1" applyFont="1" applyBorder="1" applyAlignment="1">
      <alignment vertical="center" wrapText="1"/>
    </xf>
    <xf numFmtId="44" fontId="75" fillId="0" borderId="81" xfId="1" applyFont="1" applyBorder="1" applyAlignment="1">
      <alignment vertical="center" wrapText="1"/>
    </xf>
    <xf numFmtId="44" fontId="75" fillId="0" borderId="27" xfId="1" applyFont="1" applyBorder="1" applyAlignment="1">
      <alignment vertical="center"/>
    </xf>
    <xf numFmtId="0" fontId="112" fillId="6" borderId="82" xfId="0" applyFont="1" applyFill="1" applyBorder="1" applyAlignment="1">
      <alignment horizontal="center" wrapText="1"/>
    </xf>
    <xf numFmtId="0" fontId="112" fillId="6" borderId="81" xfId="0" applyFont="1" applyFill="1" applyBorder="1" applyAlignment="1">
      <alignment horizontal="center" wrapText="1"/>
    </xf>
    <xf numFmtId="0" fontId="112" fillId="6" borderId="83" xfId="0" applyFont="1" applyFill="1" applyBorder="1" applyAlignment="1">
      <alignment horizontal="center" wrapText="1"/>
    </xf>
    <xf numFmtId="0" fontId="114" fillId="77" borderId="1" xfId="949" applyFont="1" applyFill="1" applyBorder="1" applyAlignment="1">
      <alignment horizontal="left" vertical="top" wrapText="1"/>
    </xf>
    <xf numFmtId="0" fontId="114" fillId="77" borderId="80" xfId="949" applyFont="1" applyFill="1" applyBorder="1" applyAlignment="1">
      <alignment horizontal="left" vertical="top" wrapText="1"/>
    </xf>
    <xf numFmtId="0" fontId="115" fillId="77" borderId="1" xfId="2" applyFont="1" applyFill="1" applyBorder="1" applyAlignment="1">
      <alignment horizontal="left" vertical="top" wrapText="1"/>
    </xf>
    <xf numFmtId="0" fontId="114" fillId="77" borderId="80" xfId="2" applyFont="1" applyFill="1" applyBorder="1" applyAlignment="1">
      <alignment horizontal="left" vertical="top" wrapText="1"/>
    </xf>
    <xf numFmtId="0" fontId="115" fillId="77" borderId="1" xfId="2" applyFont="1" applyFill="1" applyBorder="1" applyAlignment="1">
      <alignment horizontal="left" vertical="top"/>
    </xf>
    <xf numFmtId="0" fontId="114" fillId="77" borderId="80" xfId="2" applyFont="1" applyFill="1" applyBorder="1" applyAlignment="1">
      <alignment horizontal="left" vertical="top"/>
    </xf>
    <xf numFmtId="173" fontId="93" fillId="65" borderId="6" xfId="1" applyNumberFormat="1" applyFont="1" applyFill="1" applyBorder="1" applyAlignment="1"/>
    <xf numFmtId="173" fontId="93" fillId="0" borderId="1" xfId="1" applyNumberFormat="1" applyFont="1" applyBorder="1" applyAlignment="1"/>
    <xf numFmtId="43" fontId="93" fillId="0" borderId="1" xfId="3" applyFont="1" applyFill="1" applyBorder="1" applyAlignment="1"/>
    <xf numFmtId="173" fontId="93" fillId="0" borderId="1" xfId="1" applyNumberFormat="1" applyFont="1" applyFill="1" applyBorder="1" applyAlignment="1"/>
    <xf numFmtId="44" fontId="91" fillId="0" borderId="2" xfId="1" applyFont="1" applyFill="1" applyBorder="1" applyAlignment="1"/>
    <xf numFmtId="44" fontId="91" fillId="0" borderId="8" xfId="1" applyFont="1" applyFill="1" applyBorder="1" applyAlignment="1"/>
    <xf numFmtId="44" fontId="91" fillId="0" borderId="80" xfId="1" applyFont="1" applyFill="1" applyBorder="1" applyAlignment="1"/>
    <xf numFmtId="173" fontId="93" fillId="0" borderId="4" xfId="1" applyNumberFormat="1" applyFont="1" applyFill="1" applyBorder="1" applyAlignment="1"/>
    <xf numFmtId="173" fontId="93" fillId="0" borderId="80" xfId="1" applyNumberFormat="1" applyFont="1" applyFill="1" applyBorder="1" applyAlignment="1"/>
    <xf numFmtId="173" fontId="93" fillId="0" borderId="2" xfId="1" applyNumberFormat="1" applyFont="1" applyFill="1" applyBorder="1" applyAlignment="1"/>
    <xf numFmtId="173" fontId="93" fillId="0" borderId="8" xfId="1" applyNumberFormat="1" applyFont="1" applyFill="1" applyBorder="1" applyAlignment="1"/>
    <xf numFmtId="44" fontId="91" fillId="65" borderId="1" xfId="1" applyFont="1" applyFill="1" applyBorder="1" applyAlignment="1">
      <alignment wrapText="1"/>
    </xf>
    <xf numFmtId="44" fontId="91" fillId="72" borderId="1" xfId="1" applyFont="1" applyFill="1" applyBorder="1" applyAlignment="1">
      <alignment wrapText="1"/>
    </xf>
    <xf numFmtId="44" fontId="101" fillId="72" borderId="1" xfId="1" applyFont="1" applyFill="1" applyBorder="1" applyAlignment="1">
      <alignment wrapText="1"/>
    </xf>
    <xf numFmtId="2" fontId="101" fillId="72" borderId="1" xfId="0" applyNumberFormat="1" applyFont="1" applyFill="1" applyBorder="1" applyAlignment="1">
      <alignment wrapText="1"/>
    </xf>
    <xf numFmtId="44" fontId="91" fillId="0" borderId="2" xfId="1" applyFont="1" applyFill="1" applyBorder="1" applyAlignment="1">
      <alignment horizontal="center" wrapText="1"/>
    </xf>
    <xf numFmtId="0" fontId="106" fillId="0" borderId="1" xfId="0" applyFont="1" applyFill="1" applyBorder="1" applyAlignment="1">
      <alignment horizontal="left" vertical="center"/>
    </xf>
    <xf numFmtId="0" fontId="106" fillId="0" borderId="1" xfId="0" applyFont="1" applyFill="1" applyBorder="1" applyAlignment="1">
      <alignment horizontal="center" vertical="center"/>
    </xf>
    <xf numFmtId="0" fontId="106" fillId="0" borderId="2" xfId="0" applyFont="1" applyFill="1" applyBorder="1" applyAlignment="1">
      <alignment horizontal="left" vertical="center"/>
    </xf>
    <xf numFmtId="0" fontId="106" fillId="0" borderId="2" xfId="0" applyFont="1" applyFill="1" applyBorder="1" applyAlignment="1">
      <alignment horizontal="center" vertical="center"/>
    </xf>
    <xf numFmtId="44" fontId="91" fillId="0" borderId="21" xfId="1" applyFont="1" applyFill="1" applyBorder="1" applyAlignment="1"/>
    <xf numFmtId="0" fontId="106" fillId="0" borderId="27" xfId="0" applyFont="1" applyFill="1" applyBorder="1" applyAlignment="1">
      <alignment horizontal="center" vertical="center"/>
    </xf>
    <xf numFmtId="0" fontId="106" fillId="0" borderId="21" xfId="0" applyFont="1" applyFill="1" applyBorder="1" applyAlignment="1">
      <alignment horizontal="center" vertical="center"/>
    </xf>
    <xf numFmtId="173" fontId="93" fillId="0" borderId="1" xfId="1" applyNumberFormat="1" applyFont="1" applyFill="1" applyBorder="1"/>
    <xf numFmtId="173" fontId="79" fillId="0" borderId="1" xfId="1" applyNumberFormat="1" applyFont="1" applyFill="1" applyBorder="1" applyAlignment="1">
      <alignment horizontal="left" vertical="top" wrapText="1"/>
    </xf>
    <xf numFmtId="44" fontId="91" fillId="0" borderId="27" xfId="1" applyFont="1" applyFill="1" applyBorder="1" applyAlignment="1">
      <alignment wrapText="1"/>
    </xf>
    <xf numFmtId="173" fontId="109" fillId="0" borderId="27" xfId="1" applyNumberFormat="1" applyFont="1" applyFill="1" applyBorder="1" applyAlignment="1">
      <alignment horizontal="left" vertical="center" wrapText="1"/>
    </xf>
    <xf numFmtId="44" fontId="91" fillId="65" borderId="27" xfId="1" applyFont="1" applyFill="1" applyBorder="1" applyAlignment="1">
      <alignment wrapText="1"/>
    </xf>
    <xf numFmtId="44" fontId="91" fillId="65" borderId="80" xfId="1" applyFont="1" applyFill="1" applyBorder="1" applyAlignment="1">
      <alignment wrapText="1"/>
    </xf>
    <xf numFmtId="173" fontId="93" fillId="65" borderId="27" xfId="1" applyNumberFormat="1" applyFont="1" applyFill="1" applyBorder="1" applyAlignment="1"/>
    <xf numFmtId="173" fontId="93" fillId="65" borderId="18" xfId="1" applyNumberFormat="1" applyFont="1" applyFill="1" applyBorder="1" applyAlignment="1"/>
    <xf numFmtId="173" fontId="93" fillId="65" borderId="81" xfId="1" applyNumberFormat="1" applyFont="1" applyFill="1" applyBorder="1" applyAlignment="1"/>
    <xf numFmtId="173" fontId="93" fillId="65" borderId="86" xfId="1" applyNumberFormat="1" applyFont="1" applyFill="1" applyBorder="1" applyAlignment="1"/>
    <xf numFmtId="173" fontId="93" fillId="65" borderId="98" xfId="1" applyNumberFormat="1" applyFont="1" applyFill="1" applyBorder="1" applyAlignment="1"/>
    <xf numFmtId="44" fontId="91" fillId="72" borderId="27" xfId="1" applyFont="1" applyFill="1" applyBorder="1" applyAlignment="1">
      <alignment wrapText="1"/>
    </xf>
    <xf numFmtId="44" fontId="101" fillId="72" borderId="80" xfId="1" applyFont="1" applyFill="1" applyBorder="1" applyAlignment="1">
      <alignment wrapText="1"/>
    </xf>
    <xf numFmtId="173" fontId="93" fillId="0" borderId="27" xfId="1" applyNumberFormat="1" applyFont="1" applyBorder="1" applyAlignment="1"/>
    <xf numFmtId="173" fontId="93" fillId="0" borderId="80" xfId="1" applyNumberFormat="1" applyFont="1" applyBorder="1" applyAlignment="1"/>
    <xf numFmtId="173" fontId="93" fillId="0" borderId="81" xfId="1" applyNumberFormat="1" applyFont="1" applyBorder="1" applyAlignment="1"/>
    <xf numFmtId="173" fontId="93" fillId="0" borderId="82" xfId="1" applyNumberFormat="1" applyFont="1" applyBorder="1" applyAlignment="1"/>
    <xf numFmtId="173" fontId="93" fillId="0" borderId="83" xfId="1" applyNumberFormat="1" applyFont="1" applyBorder="1" applyAlignment="1"/>
    <xf numFmtId="44" fontId="101" fillId="72" borderId="27" xfId="1" applyFont="1" applyFill="1" applyBorder="1" applyAlignment="1">
      <alignment wrapText="1"/>
    </xf>
    <xf numFmtId="44" fontId="91" fillId="72" borderId="80" xfId="1" applyFont="1" applyFill="1" applyBorder="1" applyAlignment="1">
      <alignment wrapText="1"/>
    </xf>
    <xf numFmtId="43" fontId="93" fillId="0" borderId="27" xfId="3" applyFont="1" applyFill="1" applyBorder="1" applyAlignment="1"/>
    <xf numFmtId="43" fontId="93" fillId="0" borderId="81" xfId="3" applyFont="1" applyFill="1" applyBorder="1" applyAlignment="1"/>
    <xf numFmtId="43" fontId="93" fillId="0" borderId="82" xfId="3" applyFont="1" applyFill="1" applyBorder="1" applyAlignment="1"/>
    <xf numFmtId="44" fontId="92" fillId="0" borderId="27" xfId="1" applyFont="1" applyBorder="1" applyAlignment="1">
      <alignment wrapText="1"/>
    </xf>
    <xf numFmtId="44" fontId="1" fillId="0" borderId="1" xfId="1" applyFont="1" applyFill="1" applyBorder="1"/>
    <xf numFmtId="44" fontId="1" fillId="0" borderId="5" xfId="1" applyFont="1" applyFill="1" applyBorder="1" applyAlignment="1"/>
    <xf numFmtId="44" fontId="1" fillId="0" borderId="1" xfId="1" applyFont="1" applyFill="1" applyBorder="1" applyAlignment="1">
      <alignment wrapText="1"/>
    </xf>
    <xf numFmtId="44" fontId="2" fillId="0" borderId="80" xfId="1" applyFont="1" applyFill="1" applyBorder="1" applyAlignment="1"/>
    <xf numFmtId="0" fontId="0" fillId="0" borderId="80" xfId="0" applyFill="1" applyBorder="1" applyAlignment="1"/>
    <xf numFmtId="0" fontId="6" fillId="0" borderId="76" xfId="0" applyFont="1" applyFill="1" applyBorder="1" applyAlignment="1">
      <alignment horizontal="center" vertical="center" wrapText="1"/>
    </xf>
    <xf numFmtId="44" fontId="0" fillId="0" borderId="3" xfId="1" applyFont="1" applyFill="1" applyBorder="1" applyAlignment="1"/>
    <xf numFmtId="44" fontId="0" fillId="0" borderId="3" xfId="0" applyNumberFormat="1" applyFill="1" applyBorder="1" applyAlignment="1"/>
    <xf numFmtId="0" fontId="6" fillId="0" borderId="0" xfId="0" applyFont="1" applyFill="1" applyBorder="1" applyAlignment="1">
      <alignment horizontal="center" vertical="center" wrapText="1"/>
    </xf>
    <xf numFmtId="44" fontId="0" fillId="0" borderId="2" xfId="1" applyFont="1" applyFill="1" applyBorder="1" applyAlignment="1"/>
    <xf numFmtId="44" fontId="0" fillId="0" borderId="2" xfId="0" applyNumberFormat="1" applyFill="1" applyBorder="1" applyAlignment="1"/>
    <xf numFmtId="44" fontId="92" fillId="0" borderId="6" xfId="1" applyFont="1" applyBorder="1" applyAlignment="1"/>
    <xf numFmtId="44" fontId="0" fillId="0" borderId="6" xfId="0" applyNumberFormat="1" applyBorder="1" applyAlignment="1"/>
    <xf numFmtId="0" fontId="0" fillId="65" borderId="63" xfId="0" applyFill="1" applyBorder="1" applyAlignment="1"/>
    <xf numFmtId="0" fontId="0" fillId="65" borderId="76" xfId="0" applyFill="1" applyBorder="1" applyAlignment="1"/>
    <xf numFmtId="0" fontId="0" fillId="65" borderId="24" xfId="0" applyFill="1" applyBorder="1" applyAlignment="1"/>
    <xf numFmtId="0" fontId="0" fillId="65" borderId="65" xfId="0" applyFill="1" applyBorder="1"/>
    <xf numFmtId="0" fontId="0" fillId="65" borderId="0" xfId="0" applyFill="1" applyBorder="1"/>
    <xf numFmtId="0" fontId="0" fillId="65" borderId="23" xfId="0" applyFill="1" applyBorder="1"/>
    <xf numFmtId="0" fontId="0" fillId="65" borderId="63" xfId="0" applyFill="1" applyBorder="1"/>
    <xf numFmtId="0" fontId="0" fillId="65" borderId="76" xfId="0" applyFill="1" applyBorder="1"/>
    <xf numFmtId="0" fontId="0" fillId="65" borderId="24" xfId="0" applyFill="1" applyBorder="1"/>
    <xf numFmtId="44" fontId="91" fillId="0" borderId="27" xfId="1" applyFont="1" applyFill="1" applyBorder="1" applyAlignment="1"/>
    <xf numFmtId="44" fontId="93" fillId="0" borderId="27" xfId="1" applyFont="1" applyFill="1" applyBorder="1" applyAlignment="1">
      <alignment vertical="center"/>
    </xf>
    <xf numFmtId="44" fontId="93" fillId="0" borderId="1" xfId="1" applyFont="1" applyFill="1" applyBorder="1" applyAlignment="1">
      <alignment vertical="center" wrapText="1"/>
    </xf>
    <xf numFmtId="44" fontId="93" fillId="0" borderId="1" xfId="0" applyNumberFormat="1" applyFont="1" applyFill="1" applyBorder="1" applyAlignment="1"/>
    <xf numFmtId="44" fontId="93" fillId="0" borderId="80" xfId="1" applyFont="1" applyFill="1" applyBorder="1"/>
    <xf numFmtId="44" fontId="93" fillId="0" borderId="1" xfId="1" applyFont="1" applyFill="1" applyBorder="1" applyAlignment="1">
      <alignment vertical="center"/>
    </xf>
    <xf numFmtId="44" fontId="91" fillId="0" borderId="6" xfId="1" applyFont="1" applyBorder="1" applyAlignment="1"/>
    <xf numFmtId="44" fontId="93" fillId="0" borderId="6" xfId="0" applyNumberFormat="1" applyFont="1" applyBorder="1" applyAlignment="1"/>
    <xf numFmtId="44" fontId="93" fillId="65" borderId="18" xfId="1" applyFont="1" applyFill="1" applyBorder="1" applyAlignment="1"/>
    <xf numFmtId="0" fontId="0" fillId="65" borderId="65" xfId="0" applyFill="1" applyBorder="1" applyAlignment="1"/>
    <xf numFmtId="0" fontId="0" fillId="65" borderId="0" xfId="0" applyFill="1" applyBorder="1" applyAlignment="1"/>
    <xf numFmtId="0" fontId="0" fillId="65" borderId="23" xfId="0" applyFill="1" applyBorder="1" applyAlignment="1"/>
    <xf numFmtId="0" fontId="0" fillId="6" borderId="78" xfId="0" applyFont="1" applyFill="1" applyBorder="1" applyAlignment="1">
      <alignment wrapText="1"/>
    </xf>
    <xf numFmtId="0" fontId="0" fillId="6" borderId="79" xfId="0" applyFont="1" applyFill="1" applyBorder="1" applyAlignment="1">
      <alignment wrapText="1"/>
    </xf>
    <xf numFmtId="44" fontId="92" fillId="0" borderId="27" xfId="1" applyFont="1" applyFill="1" applyBorder="1" applyAlignment="1"/>
    <xf numFmtId="44" fontId="75" fillId="0" borderId="27" xfId="1" applyFont="1" applyFill="1" applyBorder="1" applyAlignment="1"/>
    <xf numFmtId="164" fontId="76" fillId="0" borderId="1" xfId="7" applyNumberFormat="1" applyFont="1" applyFill="1" applyBorder="1" applyAlignment="1">
      <alignment horizontal="center" vertical="center"/>
    </xf>
    <xf numFmtId="44" fontId="75" fillId="0" borderId="80" xfId="1" applyFont="1" applyFill="1" applyBorder="1"/>
    <xf numFmtId="164" fontId="76" fillId="0" borderId="1" xfId="7" applyNumberFormat="1" applyFont="1" applyFill="1" applyBorder="1" applyAlignment="1" applyProtection="1">
      <alignment horizontal="center" vertical="center"/>
    </xf>
    <xf numFmtId="0" fontId="0" fillId="0" borderId="63" xfId="0" applyBorder="1"/>
    <xf numFmtId="0" fontId="0" fillId="0" borderId="24" xfId="0" applyBorder="1"/>
    <xf numFmtId="0" fontId="0" fillId="0" borderId="62" xfId="0" applyFill="1" applyBorder="1"/>
    <xf numFmtId="44" fontId="2" fillId="0" borderId="21" xfId="1" applyFont="1" applyFill="1" applyBorder="1" applyAlignment="1"/>
    <xf numFmtId="44" fontId="2" fillId="0" borderId="2" xfId="1" applyFont="1" applyFill="1" applyBorder="1" applyAlignment="1"/>
    <xf numFmtId="44" fontId="2" fillId="0" borderId="1" xfId="1" applyFont="1" applyFill="1" applyBorder="1" applyAlignment="1">
      <alignment horizontal="center"/>
    </xf>
    <xf numFmtId="44" fontId="75" fillId="0" borderId="27" xfId="1" applyFont="1" applyFill="1" applyBorder="1"/>
    <xf numFmtId="0" fontId="75" fillId="65" borderId="63" xfId="0" applyFont="1" applyFill="1" applyBorder="1"/>
    <xf numFmtId="0" fontId="75" fillId="65" borderId="76" xfId="0" applyFont="1" applyFill="1" applyBorder="1"/>
    <xf numFmtId="0" fontId="75" fillId="65" borderId="24" xfId="0" applyFont="1" applyFill="1" applyBorder="1"/>
    <xf numFmtId="0" fontId="91" fillId="0" borderId="77" xfId="2105" applyFont="1" applyFill="1" applyBorder="1" applyAlignment="1"/>
    <xf numFmtId="0" fontId="91" fillId="0" borderId="78" xfId="2105" applyFont="1" applyFill="1" applyBorder="1" applyAlignment="1"/>
    <xf numFmtId="0" fontId="104" fillId="0" borderId="0" xfId="2105" applyFont="1" applyFill="1" applyAlignment="1"/>
    <xf numFmtId="0" fontId="105" fillId="0" borderId="27" xfId="2105" applyFont="1" applyFill="1" applyBorder="1" applyAlignment="1">
      <alignment wrapText="1"/>
    </xf>
    <xf numFmtId="0" fontId="105" fillId="0" borderId="1" xfId="2105" applyFont="1" applyFill="1" applyBorder="1" applyAlignment="1">
      <alignment wrapText="1"/>
    </xf>
    <xf numFmtId="0" fontId="105" fillId="0" borderId="1" xfId="2105" applyFont="1" applyFill="1" applyBorder="1" applyAlignment="1">
      <alignment horizontal="center" wrapText="1"/>
    </xf>
    <xf numFmtId="44" fontId="91" fillId="0" borderId="27" xfId="1" applyFont="1" applyFill="1" applyBorder="1" applyAlignment="1">
      <alignment horizontal="center" wrapText="1"/>
    </xf>
    <xf numFmtId="44" fontId="91" fillId="0" borderId="80" xfId="1" applyFont="1" applyFill="1" applyBorder="1" applyAlignment="1">
      <alignment horizontal="center" wrapText="1"/>
    </xf>
    <xf numFmtId="44" fontId="91" fillId="0" borderId="6" xfId="1" applyFont="1" applyFill="1" applyBorder="1" applyAlignment="1">
      <alignment horizontal="center" wrapText="1"/>
    </xf>
    <xf numFmtId="44" fontId="101" fillId="0" borderId="1" xfId="1" applyFont="1" applyFill="1" applyBorder="1" applyAlignment="1">
      <alignment horizontal="center" wrapText="1"/>
    </xf>
    <xf numFmtId="2" fontId="101" fillId="0" borderId="1" xfId="0" applyNumberFormat="1" applyFont="1" applyFill="1" applyBorder="1" applyAlignment="1">
      <alignment horizontal="left" wrapText="1" indent="1"/>
    </xf>
    <xf numFmtId="0" fontId="74" fillId="0" borderId="0" xfId="2105" applyFill="1" applyAlignment="1">
      <alignment wrapText="1"/>
    </xf>
    <xf numFmtId="0" fontId="106" fillId="0" borderId="27" xfId="2105" applyFont="1" applyFill="1" applyBorder="1" applyAlignment="1">
      <alignment horizontal="left" vertical="center"/>
    </xf>
    <xf numFmtId="0" fontId="106" fillId="0" borderId="1" xfId="2105" applyFont="1" applyFill="1" applyBorder="1" applyAlignment="1">
      <alignment horizontal="left" vertical="center"/>
    </xf>
    <xf numFmtId="8" fontId="106" fillId="0" borderId="1" xfId="2105" applyNumberFormat="1" applyFont="1" applyFill="1" applyBorder="1" applyAlignment="1">
      <alignment horizontal="right" vertical="center"/>
    </xf>
    <xf numFmtId="0" fontId="93" fillId="0" borderId="80" xfId="2105" applyFont="1" applyFill="1" applyBorder="1" applyAlignment="1"/>
    <xf numFmtId="44" fontId="93" fillId="0" borderId="27" xfId="2105" applyNumberFormat="1" applyFont="1" applyFill="1" applyBorder="1" applyAlignment="1"/>
    <xf numFmtId="44" fontId="93" fillId="0" borderId="1" xfId="2105" applyNumberFormat="1" applyFont="1" applyFill="1" applyBorder="1" applyAlignment="1"/>
    <xf numFmtId="44" fontId="93" fillId="0" borderId="80" xfId="2105" applyNumberFormat="1" applyFont="1" applyFill="1" applyBorder="1" applyAlignment="1"/>
    <xf numFmtId="44" fontId="93" fillId="0" borderId="27" xfId="1" applyFont="1" applyFill="1" applyBorder="1" applyAlignment="1"/>
    <xf numFmtId="0" fontId="106" fillId="0" borderId="81" xfId="2105" applyFont="1" applyFill="1" applyBorder="1" applyAlignment="1">
      <alignment horizontal="left" vertical="center"/>
    </xf>
    <xf numFmtId="0" fontId="106" fillId="0" borderId="82" xfId="2105" applyFont="1" applyFill="1" applyBorder="1" applyAlignment="1">
      <alignment horizontal="left" vertical="center"/>
    </xf>
    <xf numFmtId="8" fontId="106" fillId="0" borderId="82" xfId="2105" applyNumberFormat="1" applyFont="1" applyFill="1" applyBorder="1" applyAlignment="1">
      <alignment horizontal="right" vertical="center"/>
    </xf>
    <xf numFmtId="0" fontId="93" fillId="0" borderId="83" xfId="2105" applyFont="1" applyFill="1" applyBorder="1" applyAlignment="1"/>
    <xf numFmtId="44" fontId="93" fillId="0" borderId="81" xfId="2105" applyNumberFormat="1" applyFont="1" applyFill="1" applyBorder="1" applyAlignment="1"/>
    <xf numFmtId="44" fontId="93" fillId="0" borderId="82" xfId="2105" applyNumberFormat="1" applyFont="1" applyFill="1" applyBorder="1" applyAlignment="1"/>
    <xf numFmtId="44" fontId="93" fillId="0" borderId="83" xfId="2105" applyNumberFormat="1" applyFont="1" applyFill="1" applyBorder="1" applyAlignment="1"/>
    <xf numFmtId="44" fontId="93" fillId="0" borderId="81" xfId="1" applyFont="1" applyFill="1" applyBorder="1" applyAlignment="1"/>
    <xf numFmtId="44" fontId="93" fillId="0" borderId="82" xfId="1" applyFont="1" applyFill="1" applyBorder="1" applyAlignment="1"/>
    <xf numFmtId="44" fontId="93" fillId="0" borderId="83" xfId="1" applyFont="1" applyFill="1" applyBorder="1" applyAlignment="1"/>
    <xf numFmtId="0" fontId="93" fillId="0" borderId="0" xfId="2105" applyFont="1" applyFill="1" applyAlignment="1"/>
    <xf numFmtId="0" fontId="91" fillId="0" borderId="78" xfId="2105" applyFont="1" applyFill="1" applyBorder="1" applyAlignment="1">
      <alignment horizontal="center" wrapText="1"/>
    </xf>
    <xf numFmtId="6" fontId="91" fillId="0" borderId="77" xfId="1" quotePrefix="1" applyNumberFormat="1" applyFont="1" applyFill="1" applyBorder="1" applyAlignment="1"/>
    <xf numFmtId="6" fontId="91" fillId="0" borderId="78" xfId="1" quotePrefix="1" applyNumberFormat="1" applyFont="1" applyFill="1" applyBorder="1" applyAlignment="1"/>
    <xf numFmtId="6" fontId="91" fillId="0" borderId="79" xfId="1" quotePrefix="1" applyNumberFormat="1" applyFont="1" applyFill="1" applyBorder="1" applyAlignment="1"/>
    <xf numFmtId="0" fontId="93" fillId="0" borderId="27" xfId="2105" applyFont="1" applyFill="1" applyBorder="1" applyAlignment="1"/>
    <xf numFmtId="0" fontId="93" fillId="0" borderId="1" xfId="2105" applyFont="1" applyFill="1" applyBorder="1" applyAlignment="1"/>
    <xf numFmtId="0" fontId="93" fillId="0" borderId="1" xfId="2105" applyFont="1" applyFill="1" applyBorder="1"/>
    <xf numFmtId="0" fontId="93" fillId="0" borderId="81" xfId="2105" applyFont="1" applyFill="1" applyBorder="1" applyAlignment="1"/>
    <xf numFmtId="0" fontId="93" fillId="0" borderId="82" xfId="2105" applyFont="1" applyFill="1" applyBorder="1" applyAlignment="1"/>
    <xf numFmtId="0" fontId="93" fillId="0" borderId="82" xfId="2105" applyFont="1" applyFill="1" applyBorder="1"/>
    <xf numFmtId="0" fontId="74" fillId="0" borderId="23" xfId="2105" applyFill="1" applyBorder="1" applyAlignment="1"/>
    <xf numFmtId="0" fontId="74" fillId="0" borderId="76" xfId="2105" applyFill="1" applyBorder="1" applyAlignment="1">
      <alignment horizontal="center" wrapText="1"/>
    </xf>
    <xf numFmtId="0" fontId="74" fillId="0" borderId="76" xfId="2105" applyFill="1" applyBorder="1" applyAlignment="1"/>
    <xf numFmtId="0" fontId="74" fillId="0" borderId="24" xfId="2105" applyFill="1" applyBorder="1" applyAlignment="1"/>
    <xf numFmtId="0" fontId="74" fillId="0" borderId="0" xfId="2105" applyFill="1" applyBorder="1" applyAlignment="1">
      <alignment horizontal="center" wrapText="1"/>
    </xf>
    <xf numFmtId="44" fontId="113" fillId="65" borderId="11" xfId="1" applyFont="1" applyFill="1" applyBorder="1" applyAlignment="1"/>
    <xf numFmtId="9" fontId="113" fillId="65" borderId="1" xfId="2109" applyFont="1" applyFill="1" applyBorder="1" applyAlignment="1">
      <alignment vertical="center"/>
    </xf>
    <xf numFmtId="44" fontId="113" fillId="65" borderId="1" xfId="1" applyFont="1" applyFill="1" applyBorder="1" applyAlignment="1">
      <alignment vertical="center" wrapText="1"/>
    </xf>
    <xf numFmtId="9" fontId="113" fillId="65" borderId="1" xfId="2109" applyFont="1" applyFill="1" applyBorder="1" applyAlignment="1">
      <alignment vertical="center" wrapText="1"/>
    </xf>
    <xf numFmtId="44" fontId="113" fillId="65" borderId="1" xfId="1" applyFont="1" applyFill="1" applyBorder="1" applyAlignment="1">
      <alignment vertical="center"/>
    </xf>
    <xf numFmtId="44" fontId="112" fillId="65" borderId="8" xfId="1" applyFont="1" applyFill="1" applyBorder="1" applyAlignment="1">
      <alignment vertical="center"/>
    </xf>
    <xf numFmtId="44" fontId="112" fillId="65" borderId="9" xfId="1" applyFont="1" applyFill="1" applyBorder="1" applyAlignment="1">
      <alignment vertical="center" wrapText="1"/>
    </xf>
    <xf numFmtId="44" fontId="112" fillId="65" borderId="0" xfId="1" applyFont="1" applyFill="1" applyAlignment="1"/>
    <xf numFmtId="44" fontId="9" fillId="65" borderId="0" xfId="1" applyFont="1" applyFill="1" applyAlignment="1"/>
    <xf numFmtId="0" fontId="0" fillId="0" borderId="0" xfId="0" applyAlignment="1">
      <alignment vertical="center"/>
    </xf>
    <xf numFmtId="0" fontId="116" fillId="0" borderId="81" xfId="0" applyFont="1" applyBorder="1" applyAlignment="1">
      <alignment horizontal="left" vertical="top" wrapText="1"/>
    </xf>
    <xf numFmtId="44" fontId="75" fillId="0" borderId="1" xfId="0" applyNumberFormat="1" applyFont="1" applyBorder="1" applyAlignment="1">
      <alignment vertical="center"/>
    </xf>
    <xf numFmtId="44" fontId="75" fillId="0" borderId="80" xfId="1" applyFont="1" applyBorder="1" applyAlignment="1">
      <alignment vertical="center"/>
    </xf>
    <xf numFmtId="44" fontId="75" fillId="65" borderId="6" xfId="1" applyFont="1" applyFill="1" applyBorder="1" applyAlignment="1">
      <alignment vertical="center"/>
    </xf>
    <xf numFmtId="44" fontId="75" fillId="65" borderId="1" xfId="1" applyFont="1" applyFill="1" applyBorder="1" applyAlignment="1">
      <alignment vertical="center"/>
    </xf>
    <xf numFmtId="9" fontId="75" fillId="0" borderId="1" xfId="2109" applyFont="1" applyFill="1" applyBorder="1" applyAlignment="1">
      <alignment vertical="center"/>
    </xf>
    <xf numFmtId="172" fontId="75" fillId="0" borderId="1" xfId="3" applyNumberFormat="1" applyFont="1" applyFill="1" applyBorder="1" applyAlignment="1">
      <alignment vertical="center"/>
    </xf>
    <xf numFmtId="44" fontId="75" fillId="0" borderId="1" xfId="1" applyFont="1" applyFill="1" applyBorder="1" applyAlignment="1">
      <alignment vertical="center"/>
    </xf>
    <xf numFmtId="44" fontId="75" fillId="0" borderId="80" xfId="0" applyNumberFormat="1" applyFont="1" applyBorder="1" applyAlignment="1">
      <alignment vertical="center"/>
    </xf>
    <xf numFmtId="44" fontId="75" fillId="65" borderId="18" xfId="1" applyFont="1" applyFill="1" applyBorder="1" applyAlignment="1">
      <alignment vertical="center"/>
    </xf>
    <xf numFmtId="44" fontId="75" fillId="0" borderId="27" xfId="0" applyNumberFormat="1" applyFont="1" applyBorder="1" applyAlignment="1">
      <alignment vertical="center"/>
    </xf>
    <xf numFmtId="9" fontId="75" fillId="0" borderId="27" xfId="2109" applyFont="1" applyFill="1" applyBorder="1" applyAlignment="1">
      <alignment vertical="center"/>
    </xf>
    <xf numFmtId="44" fontId="75" fillId="0" borderId="80" xfId="1" applyFont="1" applyFill="1" applyBorder="1" applyAlignment="1">
      <alignment vertical="center"/>
    </xf>
    <xf numFmtId="44" fontId="75" fillId="0" borderId="82" xfId="1" applyFont="1" applyBorder="1" applyAlignment="1">
      <alignment vertical="center"/>
    </xf>
    <xf numFmtId="44" fontId="75" fillId="0" borderId="82" xfId="0" applyNumberFormat="1" applyFont="1" applyBorder="1" applyAlignment="1">
      <alignment vertical="center"/>
    </xf>
    <xf numFmtId="44" fontId="75" fillId="0" borderId="83" xfId="0" applyNumberFormat="1" applyFont="1" applyBorder="1" applyAlignment="1">
      <alignment vertical="center"/>
    </xf>
    <xf numFmtId="44" fontId="75" fillId="65" borderId="86" xfId="1" applyFont="1" applyFill="1" applyBorder="1" applyAlignment="1">
      <alignment vertical="center"/>
    </xf>
    <xf numFmtId="44" fontId="75" fillId="65" borderId="82" xfId="1" applyFont="1" applyFill="1" applyBorder="1" applyAlignment="1">
      <alignment vertical="center"/>
    </xf>
    <xf numFmtId="44" fontId="75" fillId="65" borderId="98" xfId="1" applyFont="1" applyFill="1" applyBorder="1" applyAlignment="1">
      <alignment vertical="center"/>
    </xf>
    <xf numFmtId="44" fontId="75" fillId="0" borderId="81" xfId="0" applyNumberFormat="1" applyFont="1" applyBorder="1" applyAlignment="1">
      <alignment vertical="center"/>
    </xf>
    <xf numFmtId="9" fontId="75" fillId="0" borderId="81" xfId="2109" applyFont="1" applyFill="1" applyBorder="1" applyAlignment="1">
      <alignment vertical="center"/>
    </xf>
    <xf numFmtId="172" fontId="75" fillId="0" borderId="82" xfId="3" applyNumberFormat="1" applyFont="1" applyFill="1" applyBorder="1" applyAlignment="1">
      <alignment vertical="center"/>
    </xf>
    <xf numFmtId="44" fontId="75" fillId="0" borderId="82" xfId="1" applyFont="1" applyFill="1" applyBorder="1" applyAlignment="1">
      <alignment vertical="center"/>
    </xf>
    <xf numFmtId="44" fontId="75" fillId="0" borderId="83" xfId="1" applyFont="1" applyFill="1" applyBorder="1" applyAlignment="1">
      <alignment vertical="center"/>
    </xf>
    <xf numFmtId="0" fontId="75" fillId="0" borderId="0" xfId="0" applyFont="1" applyAlignment="1">
      <alignment vertical="center"/>
    </xf>
    <xf numFmtId="44" fontId="75" fillId="0" borderId="0" xfId="1" applyFont="1" applyAlignment="1">
      <alignment vertical="center"/>
    </xf>
    <xf numFmtId="44" fontId="0" fillId="0" borderId="0" xfId="1" applyFont="1" applyAlignment="1">
      <alignment vertical="center"/>
    </xf>
    <xf numFmtId="44" fontId="93" fillId="65" borderId="6" xfId="1" applyNumberFormat="1" applyFont="1" applyFill="1" applyBorder="1" applyAlignment="1"/>
    <xf numFmtId="173" fontId="92" fillId="75" borderId="2" xfId="1" applyNumberFormat="1" applyFont="1" applyFill="1" applyBorder="1" applyAlignment="1">
      <alignment horizontal="center" wrapText="1"/>
    </xf>
    <xf numFmtId="173" fontId="92" fillId="75" borderId="20" xfId="1" applyNumberFormat="1" applyFont="1" applyFill="1" applyBorder="1" applyAlignment="1">
      <alignment horizontal="center" wrapText="1"/>
    </xf>
    <xf numFmtId="173" fontId="108" fillId="65" borderId="78" xfId="0" applyNumberFormat="1" applyFont="1" applyFill="1" applyBorder="1" applyAlignment="1">
      <alignment horizontal="center" vertical="center"/>
    </xf>
    <xf numFmtId="173" fontId="108" fillId="65" borderId="79" xfId="0" applyNumberFormat="1" applyFont="1" applyFill="1" applyBorder="1" applyAlignment="1">
      <alignment horizontal="center" vertical="center"/>
    </xf>
    <xf numFmtId="173" fontId="108" fillId="65" borderId="1" xfId="0" applyNumberFormat="1" applyFont="1" applyFill="1" applyBorder="1" applyAlignment="1">
      <alignment horizontal="center" vertical="center"/>
    </xf>
    <xf numFmtId="173" fontId="108" fillId="65" borderId="80" xfId="0" applyNumberFormat="1" applyFont="1" applyFill="1" applyBorder="1" applyAlignment="1">
      <alignment horizontal="center" vertical="center"/>
    </xf>
    <xf numFmtId="173" fontId="108" fillId="65" borderId="82" xfId="0" applyNumberFormat="1" applyFont="1" applyFill="1" applyBorder="1" applyAlignment="1">
      <alignment horizontal="center" vertical="center"/>
    </xf>
    <xf numFmtId="173" fontId="108" fillId="65" borderId="83" xfId="0" applyNumberFormat="1" applyFont="1" applyFill="1" applyBorder="1" applyAlignment="1">
      <alignment horizontal="center" vertical="center"/>
    </xf>
    <xf numFmtId="173" fontId="0" fillId="0" borderId="0" xfId="0" applyNumberFormat="1" applyFill="1" applyAlignment="1"/>
    <xf numFmtId="173" fontId="93" fillId="65" borderId="13" xfId="2105" applyNumberFormat="1" applyFont="1" applyFill="1" applyBorder="1" applyAlignment="1"/>
    <xf numFmtId="173" fontId="93" fillId="65" borderId="12" xfId="2105" applyNumberFormat="1" applyFont="1" applyFill="1" applyBorder="1" applyAlignment="1"/>
    <xf numFmtId="44" fontId="93" fillId="0" borderId="19" xfId="1" applyFont="1" applyFill="1" applyBorder="1" applyAlignment="1">
      <alignment vertical="center"/>
    </xf>
    <xf numFmtId="44" fontId="93" fillId="0" borderId="38" xfId="1" applyFont="1" applyFill="1" applyBorder="1" applyAlignment="1">
      <alignment vertical="center"/>
    </xf>
    <xf numFmtId="44" fontId="93" fillId="0" borderId="0" xfId="0" applyNumberFormat="1" applyFont="1" applyBorder="1" applyAlignment="1"/>
    <xf numFmtId="173" fontId="75" fillId="65" borderId="6" xfId="1" applyNumberFormat="1" applyFont="1" applyFill="1" applyBorder="1" applyAlignment="1"/>
    <xf numFmtId="173" fontId="75" fillId="65" borderId="18" xfId="1" applyNumberFormat="1" applyFont="1" applyFill="1" applyBorder="1" applyAlignment="1"/>
    <xf numFmtId="44" fontId="75" fillId="0" borderId="99" xfId="1" applyFont="1" applyFill="1" applyBorder="1" applyAlignment="1"/>
    <xf numFmtId="44" fontId="75" fillId="0" borderId="84" xfId="1" applyFont="1" applyFill="1" applyBorder="1" applyAlignment="1"/>
    <xf numFmtId="44" fontId="0" fillId="0" borderId="65" xfId="0" applyNumberFormat="1" applyBorder="1" applyAlignment="1"/>
    <xf numFmtId="44" fontId="0" fillId="0" borderId="0" xfId="0" applyNumberFormat="1" applyBorder="1" applyAlignment="1"/>
    <xf numFmtId="44" fontId="0" fillId="0" borderId="23" xfId="0" applyNumberFormat="1" applyBorder="1" applyAlignment="1"/>
    <xf numFmtId="9" fontId="75" fillId="0" borderId="65" xfId="2109" applyFont="1" applyFill="1" applyBorder="1" applyAlignment="1"/>
    <xf numFmtId="172" fontId="75" fillId="0" borderId="0" xfId="3" applyNumberFormat="1" applyFont="1" applyFill="1" applyBorder="1" applyAlignment="1"/>
    <xf numFmtId="44" fontId="75" fillId="0" borderId="23" xfId="1" applyFont="1" applyFill="1" applyBorder="1" applyAlignment="1"/>
    <xf numFmtId="173" fontId="75" fillId="65" borderId="65" xfId="1" applyNumberFormat="1" applyFont="1" applyFill="1" applyBorder="1" applyAlignment="1"/>
    <xf numFmtId="173" fontId="113" fillId="65" borderId="1" xfId="1" applyNumberFormat="1" applyFont="1" applyFill="1" applyBorder="1" applyAlignment="1">
      <alignment vertical="center"/>
    </xf>
    <xf numFmtId="173" fontId="93" fillId="65" borderId="14" xfId="2105" applyNumberFormat="1" applyFont="1" applyFill="1" applyBorder="1" applyAlignment="1"/>
    <xf numFmtId="44" fontId="92" fillId="0" borderId="21" xfId="1" applyFont="1" applyBorder="1" applyAlignment="1">
      <alignment wrapText="1"/>
    </xf>
    <xf numFmtId="44" fontId="92" fillId="0" borderId="1" xfId="1" applyFont="1" applyBorder="1" applyAlignment="1">
      <alignment wrapText="1"/>
    </xf>
    <xf numFmtId="44" fontId="92" fillId="0" borderId="1" xfId="1" applyFont="1" applyFill="1" applyBorder="1" applyAlignment="1">
      <alignment wrapText="1"/>
    </xf>
    <xf numFmtId="44" fontId="92" fillId="0" borderId="80" xfId="1" applyFont="1" applyFill="1" applyBorder="1" applyAlignment="1">
      <alignment wrapText="1"/>
    </xf>
    <xf numFmtId="0" fontId="0" fillId="0" borderId="0" xfId="0" applyAlignment="1">
      <alignment wrapText="1"/>
    </xf>
    <xf numFmtId="173" fontId="93" fillId="65" borderId="1" xfId="2105" applyNumberFormat="1" applyFont="1" applyFill="1" applyBorder="1" applyAlignment="1"/>
    <xf numFmtId="173" fontId="93" fillId="65" borderId="41" xfId="2105" applyNumberFormat="1" applyFont="1" applyFill="1" applyBorder="1" applyAlignment="1">
      <alignment horizontal="left"/>
    </xf>
    <xf numFmtId="173" fontId="93" fillId="65" borderId="40" xfId="2105" applyNumberFormat="1" applyFont="1" applyFill="1" applyBorder="1" applyAlignment="1">
      <alignment horizontal="left"/>
    </xf>
    <xf numFmtId="173" fontId="93" fillId="65" borderId="38" xfId="2105" applyNumberFormat="1" applyFont="1" applyFill="1" applyBorder="1" applyAlignment="1">
      <alignment horizontal="left"/>
    </xf>
    <xf numFmtId="0" fontId="112" fillId="65" borderId="40" xfId="2105" applyFont="1" applyFill="1" applyBorder="1" applyAlignment="1">
      <alignment horizontal="left"/>
    </xf>
    <xf numFmtId="0" fontId="114" fillId="77" borderId="80" xfId="0" applyFont="1" applyFill="1" applyBorder="1" applyAlignment="1">
      <alignment horizontal="left" vertical="top" wrapText="1"/>
    </xf>
    <xf numFmtId="0" fontId="116" fillId="77" borderId="1" xfId="0" applyFont="1" applyFill="1" applyBorder="1" applyAlignment="1">
      <alignment horizontal="left" vertical="top" wrapText="1"/>
    </xf>
    <xf numFmtId="0" fontId="116" fillId="77" borderId="27" xfId="0" applyFont="1" applyFill="1" applyBorder="1" applyAlignment="1">
      <alignment horizontal="left" vertical="top" wrapText="1"/>
    </xf>
    <xf numFmtId="173" fontId="91" fillId="65" borderId="27" xfId="1" applyNumberFormat="1" applyFont="1" applyFill="1" applyBorder="1" applyAlignment="1"/>
    <xf numFmtId="173" fontId="91" fillId="65" borderId="6" xfId="1" applyNumberFormat="1" applyFont="1" applyFill="1" applyBorder="1" applyAlignment="1"/>
    <xf numFmtId="44" fontId="91" fillId="65" borderId="6" xfId="1" applyFont="1" applyFill="1" applyBorder="1" applyAlignment="1"/>
    <xf numFmtId="173" fontId="91" fillId="65" borderId="18" xfId="1" applyNumberFormat="1" applyFont="1" applyFill="1" applyBorder="1" applyAlignment="1"/>
    <xf numFmtId="0" fontId="112" fillId="65" borderId="41" xfId="2105" applyFont="1" applyFill="1" applyBorder="1" applyAlignment="1"/>
    <xf numFmtId="0" fontId="112" fillId="65" borderId="40" xfId="2105" applyFont="1" applyFill="1" applyBorder="1" applyAlignment="1"/>
    <xf numFmtId="173" fontId="93" fillId="65" borderId="41" xfId="2105" applyNumberFormat="1" applyFont="1" applyFill="1" applyBorder="1" applyAlignment="1"/>
    <xf numFmtId="173" fontId="93" fillId="65" borderId="40" xfId="2105" applyNumberFormat="1" applyFont="1" applyFill="1" applyBorder="1" applyAlignment="1"/>
    <xf numFmtId="0" fontId="6" fillId="65" borderId="76" xfId="0" applyFont="1" applyFill="1" applyBorder="1" applyAlignment="1">
      <alignment horizontal="center" vertical="center" wrapText="1"/>
    </xf>
    <xf numFmtId="44" fontId="0" fillId="65" borderId="3" xfId="1" applyFont="1" applyFill="1" applyBorder="1" applyAlignment="1"/>
    <xf numFmtId="44" fontId="0" fillId="65" borderId="1" xfId="1" applyFont="1" applyFill="1" applyBorder="1" applyAlignment="1"/>
    <xf numFmtId="0" fontId="6" fillId="65" borderId="0" xfId="0" applyFont="1" applyFill="1" applyBorder="1" applyAlignment="1">
      <alignment horizontal="center" vertical="center" wrapText="1"/>
    </xf>
    <xf numFmtId="44" fontId="0" fillId="65" borderId="2" xfId="1" applyFont="1" applyFill="1" applyBorder="1" applyAlignment="1"/>
    <xf numFmtId="0" fontId="112" fillId="65" borderId="38" xfId="2105" applyFont="1" applyFill="1" applyBorder="1" applyAlignment="1"/>
    <xf numFmtId="173" fontId="93" fillId="65" borderId="38" xfId="2105" applyNumberFormat="1" applyFont="1" applyFill="1" applyBorder="1" applyAlignment="1"/>
    <xf numFmtId="44" fontId="0" fillId="65" borderId="102" xfId="1" applyFont="1" applyFill="1" applyBorder="1" applyAlignment="1"/>
    <xf numFmtId="44" fontId="0" fillId="65" borderId="41" xfId="1" applyFont="1" applyFill="1" applyBorder="1" applyAlignment="1"/>
    <xf numFmtId="44" fontId="0" fillId="65" borderId="39" xfId="1" applyFont="1" applyFill="1" applyBorder="1" applyAlignment="1"/>
    <xf numFmtId="0" fontId="112" fillId="78" borderId="40" xfId="2105" applyFont="1" applyFill="1" applyBorder="1" applyAlignment="1"/>
    <xf numFmtId="0" fontId="112" fillId="78" borderId="38" xfId="2105" applyFont="1" applyFill="1" applyBorder="1" applyAlignment="1"/>
    <xf numFmtId="0" fontId="112" fillId="78" borderId="41" xfId="2105" applyFont="1" applyFill="1" applyBorder="1" applyAlignment="1"/>
    <xf numFmtId="173" fontId="93" fillId="65" borderId="1" xfId="1" applyNumberFormat="1" applyFont="1" applyFill="1" applyBorder="1" applyAlignment="1">
      <alignment horizontal="center" wrapText="1"/>
    </xf>
    <xf numFmtId="8" fontId="115" fillId="76" borderId="92" xfId="2" applyNumberFormat="1" applyFont="1" applyFill="1" applyBorder="1" applyAlignment="1">
      <alignment horizontal="left" vertical="top" wrapText="1"/>
    </xf>
    <xf numFmtId="0" fontId="116" fillId="76" borderId="3" xfId="0" applyFont="1" applyFill="1" applyBorder="1" applyAlignment="1">
      <alignment horizontal="left" vertical="top" wrapText="1"/>
    </xf>
    <xf numFmtId="0" fontId="116" fillId="76" borderId="93" xfId="0" applyFont="1" applyFill="1" applyBorder="1" applyAlignment="1">
      <alignment horizontal="left" vertical="top" wrapText="1"/>
    </xf>
    <xf numFmtId="0" fontId="116" fillId="76" borderId="27" xfId="0" applyFont="1" applyFill="1" applyBorder="1" applyAlignment="1">
      <alignment horizontal="left" vertical="top"/>
    </xf>
    <xf numFmtId="0" fontId="116" fillId="76" borderId="1" xfId="0" applyFont="1" applyFill="1" applyBorder="1" applyAlignment="1">
      <alignment horizontal="left" vertical="top" wrapText="1"/>
    </xf>
    <xf numFmtId="0" fontId="116" fillId="76" borderId="80" xfId="0" applyFont="1" applyFill="1" applyBorder="1" applyAlignment="1">
      <alignment horizontal="left" vertical="top" wrapText="1"/>
    </xf>
    <xf numFmtId="8" fontId="116" fillId="76" borderId="27" xfId="0" applyNumberFormat="1" applyFont="1" applyFill="1" applyBorder="1" applyAlignment="1">
      <alignment horizontal="left" vertical="top" wrapText="1"/>
    </xf>
    <xf numFmtId="0" fontId="116" fillId="76" borderId="1" xfId="0" applyFont="1" applyFill="1" applyBorder="1" applyAlignment="1">
      <alignment horizontal="left" vertical="top"/>
    </xf>
    <xf numFmtId="8" fontId="115" fillId="76" borderId="27" xfId="2" applyNumberFormat="1" applyFont="1" applyFill="1" applyBorder="1" applyAlignment="1">
      <alignment horizontal="left" vertical="top" wrapText="1"/>
    </xf>
    <xf numFmtId="0" fontId="116" fillId="78" borderId="80" xfId="0" applyFont="1" applyFill="1" applyBorder="1" applyAlignment="1">
      <alignment horizontal="left" vertical="top" wrapText="1"/>
    </xf>
    <xf numFmtId="0" fontId="116" fillId="0" borderId="82" xfId="0" applyFont="1" applyBorder="1" applyAlignment="1">
      <alignment horizontal="left" vertical="top" wrapText="1"/>
    </xf>
    <xf numFmtId="0" fontId="116" fillId="0" borderId="83" xfId="0" applyFont="1" applyBorder="1" applyAlignment="1">
      <alignment horizontal="left" vertical="top" wrapText="1"/>
    </xf>
    <xf numFmtId="7" fontId="116" fillId="76" borderId="1" xfId="0" applyNumberFormat="1" applyFont="1" applyFill="1" applyBorder="1" applyAlignment="1">
      <alignment horizontal="left" vertical="top"/>
    </xf>
    <xf numFmtId="0" fontId="113" fillId="6" borderId="77" xfId="0" applyFont="1" applyFill="1" applyBorder="1" applyAlignment="1">
      <alignment wrapText="1"/>
    </xf>
    <xf numFmtId="0" fontId="116" fillId="77" borderId="92" xfId="0" applyFont="1" applyFill="1" applyBorder="1" applyAlignment="1">
      <alignment horizontal="left" vertical="top" wrapText="1"/>
    </xf>
    <xf numFmtId="0" fontId="116" fillId="77" borderId="3" xfId="0" applyFont="1" applyFill="1" applyBorder="1" applyAlignment="1">
      <alignment horizontal="left" vertical="top" wrapText="1"/>
    </xf>
    <xf numFmtId="0" fontId="114" fillId="77" borderId="93" xfId="0" applyFont="1" applyFill="1" applyBorder="1" applyAlignment="1">
      <alignment horizontal="left" vertical="top" wrapText="1"/>
    </xf>
    <xf numFmtId="0" fontId="113" fillId="6" borderId="81" xfId="0" applyFont="1" applyFill="1" applyBorder="1" applyAlignment="1">
      <alignment horizontal="center" wrapText="1"/>
    </xf>
    <xf numFmtId="0" fontId="113" fillId="6" borderId="82" xfId="0" applyFont="1" applyFill="1" applyBorder="1" applyAlignment="1">
      <alignment horizontal="center" wrapText="1"/>
    </xf>
    <xf numFmtId="0" fontId="113" fillId="6" borderId="83" xfId="0" applyFont="1" applyFill="1" applyBorder="1" applyAlignment="1">
      <alignment horizontal="center" wrapText="1"/>
    </xf>
    <xf numFmtId="0" fontId="114" fillId="0" borderId="92" xfId="0" applyFont="1" applyFill="1" applyBorder="1" applyAlignment="1">
      <alignment horizontal="left" vertical="top" wrapText="1"/>
    </xf>
    <xf numFmtId="0" fontId="114" fillId="0" borderId="93" xfId="2" applyFont="1" applyFill="1" applyBorder="1" applyAlignment="1">
      <alignment horizontal="left" vertical="top" wrapText="1"/>
    </xf>
    <xf numFmtId="0" fontId="114" fillId="0" borderId="3" xfId="2" applyFont="1" applyFill="1" applyBorder="1" applyAlignment="1">
      <alignment horizontal="left" vertical="top" wrapText="1"/>
    </xf>
    <xf numFmtId="0" fontId="114" fillId="0" borderId="27" xfId="0" applyFont="1" applyFill="1" applyBorder="1" applyAlignment="1">
      <alignment horizontal="left" vertical="top" wrapText="1"/>
    </xf>
    <xf numFmtId="0" fontId="116" fillId="0" borderId="80" xfId="0" applyFont="1" applyFill="1" applyBorder="1" applyAlignment="1">
      <alignment horizontal="left" vertical="top" wrapText="1"/>
    </xf>
    <xf numFmtId="0" fontId="116" fillId="0" borderId="1" xfId="0" applyFont="1" applyFill="1" applyBorder="1" applyAlignment="1">
      <alignment horizontal="left" vertical="top" wrapText="1"/>
    </xf>
    <xf numFmtId="0" fontId="114" fillId="0" borderId="80" xfId="2" applyFont="1" applyFill="1" applyBorder="1" applyAlignment="1">
      <alignment horizontal="left" vertical="top" wrapText="1"/>
    </xf>
    <xf numFmtId="0" fontId="114" fillId="0" borderId="1" xfId="2" applyFont="1" applyFill="1" applyBorder="1" applyAlignment="1">
      <alignment horizontal="left" vertical="top" wrapText="1"/>
    </xf>
    <xf numFmtId="0" fontId="116" fillId="0" borderId="27" xfId="0" applyFont="1" applyFill="1" applyBorder="1" applyAlignment="1">
      <alignment horizontal="left" vertical="top" wrapText="1"/>
    </xf>
    <xf numFmtId="0" fontId="116" fillId="0" borderId="81" xfId="0" applyFont="1" applyFill="1" applyBorder="1" applyAlignment="1">
      <alignment horizontal="left" vertical="top" wrapText="1"/>
    </xf>
    <xf numFmtId="0" fontId="116" fillId="0" borderId="83" xfId="0" applyFont="1" applyFill="1" applyBorder="1" applyAlignment="1">
      <alignment horizontal="left" vertical="top" wrapText="1"/>
    </xf>
    <xf numFmtId="0" fontId="116" fillId="0" borderId="82" xfId="0" applyFont="1" applyFill="1" applyBorder="1" applyAlignment="1">
      <alignment horizontal="left" vertical="top" wrapText="1"/>
    </xf>
    <xf numFmtId="44" fontId="93" fillId="0" borderId="1" xfId="1" applyNumberFormat="1" applyFont="1" applyBorder="1" applyAlignment="1"/>
    <xf numFmtId="0" fontId="113" fillId="6" borderId="77" xfId="0" applyFont="1" applyFill="1" applyBorder="1" applyAlignment="1">
      <alignment horizontal="center" wrapText="1"/>
    </xf>
    <xf numFmtId="0" fontId="113" fillId="6" borderId="78" xfId="0" applyFont="1" applyFill="1" applyBorder="1" applyAlignment="1">
      <alignment horizontal="center" wrapText="1"/>
    </xf>
    <xf numFmtId="0" fontId="113" fillId="6" borderId="79" xfId="0" applyFont="1" applyFill="1" applyBorder="1" applyAlignment="1">
      <alignment horizontal="center" wrapText="1"/>
    </xf>
    <xf numFmtId="0" fontId="113" fillId="6" borderId="77" xfId="0" applyFont="1" applyFill="1" applyBorder="1" applyAlignment="1">
      <alignment horizontal="left" wrapText="1"/>
    </xf>
    <xf numFmtId="0" fontId="113" fillId="6" borderId="81" xfId="0" applyFont="1" applyFill="1" applyBorder="1" applyAlignment="1">
      <alignment horizontal="left" wrapText="1"/>
    </xf>
    <xf numFmtId="0" fontId="116" fillId="0" borderId="80" xfId="0" applyFont="1" applyFill="1" applyBorder="1" applyAlignment="1">
      <alignment horizontal="left" vertical="top" wrapText="1"/>
    </xf>
    <xf numFmtId="0" fontId="113" fillId="6" borderId="83" xfId="0" applyFont="1" applyFill="1" applyBorder="1" applyAlignment="1">
      <alignment horizontal="center" wrapText="1"/>
    </xf>
    <xf numFmtId="0" fontId="114" fillId="77" borderId="80" xfId="0" applyFont="1" applyFill="1" applyBorder="1" applyAlignment="1">
      <alignment horizontal="left" vertical="top" wrapText="1"/>
    </xf>
    <xf numFmtId="0" fontId="116" fillId="77" borderId="1" xfId="0" applyFont="1" applyFill="1" applyBorder="1" applyAlignment="1">
      <alignment horizontal="left" vertical="top" wrapText="1"/>
    </xf>
    <xf numFmtId="0" fontId="114" fillId="0" borderId="27" xfId="0" applyFont="1" applyFill="1" applyBorder="1" applyAlignment="1">
      <alignment horizontal="left" vertical="top" wrapText="1"/>
    </xf>
    <xf numFmtId="0" fontId="114" fillId="0" borderId="1" xfId="0" applyFont="1" applyFill="1" applyBorder="1" applyAlignment="1">
      <alignment horizontal="left" vertical="top" wrapText="1"/>
    </xf>
    <xf numFmtId="0" fontId="116" fillId="77" borderId="27" xfId="0" applyFont="1" applyFill="1" applyBorder="1" applyAlignment="1">
      <alignment horizontal="left" vertical="top" wrapText="1"/>
    </xf>
    <xf numFmtId="0" fontId="114" fillId="0" borderId="80" xfId="2" applyFont="1" applyFill="1" applyBorder="1" applyAlignment="1">
      <alignment horizontal="left" vertical="top" wrapText="1"/>
    </xf>
    <xf numFmtId="0" fontId="117" fillId="6" borderId="77" xfId="0" applyFont="1" applyFill="1" applyBorder="1" applyAlignment="1">
      <alignment horizontal="center" wrapText="1"/>
    </xf>
    <xf numFmtId="0" fontId="117" fillId="6" borderId="78" xfId="0" applyFont="1" applyFill="1" applyBorder="1" applyAlignment="1">
      <alignment horizontal="center" wrapText="1"/>
    </xf>
    <xf numFmtId="0" fontId="117" fillId="6" borderId="79" xfId="0" applyFont="1" applyFill="1" applyBorder="1" applyAlignment="1">
      <alignment horizontal="center" wrapText="1"/>
    </xf>
    <xf numFmtId="0" fontId="56" fillId="75" borderId="17" xfId="0" applyFont="1" applyFill="1" applyBorder="1" applyAlignment="1">
      <alignment horizontal="left"/>
    </xf>
    <xf numFmtId="0" fontId="56" fillId="75" borderId="15" xfId="0" applyFont="1" applyFill="1" applyBorder="1" applyAlignment="1">
      <alignment horizontal="left"/>
    </xf>
    <xf numFmtId="0" fontId="56" fillId="75" borderId="16" xfId="0" applyFont="1" applyFill="1" applyBorder="1" applyAlignment="1">
      <alignment horizontal="left"/>
    </xf>
    <xf numFmtId="0" fontId="77" fillId="73" borderId="64" xfId="18" applyFont="1" applyFill="1" applyBorder="1" applyAlignment="1">
      <alignment horizontal="center" vertical="top" wrapText="1"/>
    </xf>
    <xf numFmtId="0" fontId="77" fillId="73" borderId="46" xfId="18" applyFont="1" applyFill="1" applyBorder="1" applyAlignment="1">
      <alignment horizontal="center" vertical="top" wrapText="1"/>
    </xf>
    <xf numFmtId="0" fontId="77" fillId="73" borderId="26" xfId="18" applyFont="1" applyFill="1" applyBorder="1" applyAlignment="1">
      <alignment horizontal="center" vertical="top" wrapText="1"/>
    </xf>
    <xf numFmtId="0" fontId="77" fillId="73" borderId="64" xfId="18" applyFont="1" applyFill="1" applyBorder="1" applyAlignment="1">
      <alignment horizontal="center" vertical="center" wrapText="1"/>
    </xf>
    <xf numFmtId="0" fontId="77" fillId="73" borderId="26" xfId="18" applyFont="1" applyFill="1" applyBorder="1" applyAlignment="1">
      <alignment horizontal="center" vertical="center" wrapText="1"/>
    </xf>
    <xf numFmtId="0" fontId="108" fillId="73" borderId="77" xfId="0" applyFont="1" applyFill="1" applyBorder="1" applyAlignment="1">
      <alignment horizontal="left" vertical="top" wrapText="1"/>
    </xf>
    <xf numFmtId="0" fontId="108" fillId="73" borderId="81" xfId="0" applyFont="1" applyFill="1" applyBorder="1" applyAlignment="1">
      <alignment horizontal="left" vertical="top" wrapText="1"/>
    </xf>
    <xf numFmtId="0" fontId="108" fillId="73" borderId="64" xfId="0" applyFont="1" applyFill="1" applyBorder="1" applyAlignment="1">
      <alignment horizontal="center" vertical="top" wrapText="1"/>
    </xf>
    <xf numFmtId="0" fontId="108" fillId="73" borderId="26" xfId="0" applyFont="1" applyFill="1" applyBorder="1" applyAlignment="1">
      <alignment horizontal="center" vertical="top" wrapText="1"/>
    </xf>
    <xf numFmtId="0" fontId="108" fillId="73" borderId="27" xfId="0" applyFont="1" applyFill="1" applyBorder="1" applyAlignment="1">
      <alignment horizontal="left" vertical="top" wrapText="1"/>
    </xf>
    <xf numFmtId="0" fontId="77" fillId="73" borderId="64" xfId="18" applyFont="1" applyFill="1" applyBorder="1" applyAlignment="1">
      <alignment horizontal="left" vertical="top" wrapText="1"/>
    </xf>
    <xf numFmtId="0" fontId="77" fillId="73" borderId="46" xfId="18" applyFont="1" applyFill="1" applyBorder="1" applyAlignment="1">
      <alignment horizontal="left" vertical="top" wrapText="1"/>
    </xf>
    <xf numFmtId="0" fontId="77" fillId="73" borderId="26" xfId="18" applyFont="1" applyFill="1" applyBorder="1" applyAlignment="1">
      <alignment horizontal="left" vertical="top" wrapText="1"/>
    </xf>
    <xf numFmtId="0" fontId="89" fillId="69" borderId="87" xfId="0" applyFont="1" applyFill="1" applyBorder="1" applyAlignment="1">
      <alignment horizontal="left" vertical="center"/>
    </xf>
    <xf numFmtId="0" fontId="89" fillId="69" borderId="88" xfId="0" applyFont="1" applyFill="1" applyBorder="1" applyAlignment="1">
      <alignment horizontal="left" vertical="center"/>
    </xf>
    <xf numFmtId="0" fontId="89" fillId="70" borderId="87" xfId="0" applyFont="1" applyFill="1" applyBorder="1" applyAlignment="1">
      <alignment horizontal="left" vertical="center"/>
    </xf>
    <xf numFmtId="0" fontId="89" fillId="70" borderId="88" xfId="0" applyFont="1" applyFill="1" applyBorder="1" applyAlignment="1">
      <alignment horizontal="left" vertical="center"/>
    </xf>
    <xf numFmtId="0" fontId="89" fillId="70" borderId="87" xfId="0" applyFont="1" applyFill="1" applyBorder="1" applyAlignment="1">
      <alignment horizontal="center" vertical="center"/>
    </xf>
    <xf numFmtId="0" fontId="89" fillId="70" borderId="88" xfId="0" applyFont="1" applyFill="1" applyBorder="1" applyAlignment="1">
      <alignment horizontal="center" vertical="center"/>
    </xf>
    <xf numFmtId="0" fontId="3" fillId="0" borderId="64" xfId="2" applyBorder="1" applyAlignment="1">
      <alignment horizontal="center" vertical="center" wrapText="1"/>
    </xf>
    <xf numFmtId="0" fontId="3" fillId="0" borderId="26" xfId="2" applyBorder="1" applyAlignment="1">
      <alignment horizontal="center" vertical="center" wrapText="1"/>
    </xf>
    <xf numFmtId="0" fontId="89" fillId="71" borderId="87" xfId="0" applyFont="1" applyFill="1" applyBorder="1" applyAlignment="1">
      <alignment horizontal="left" vertical="center"/>
    </xf>
    <xf numFmtId="0" fontId="89" fillId="71" borderId="88" xfId="0" applyFont="1" applyFill="1" applyBorder="1" applyAlignment="1">
      <alignment horizontal="left" vertical="center"/>
    </xf>
    <xf numFmtId="0" fontId="89" fillId="71" borderId="87" xfId="0" applyFont="1" applyFill="1" applyBorder="1" applyAlignment="1">
      <alignment horizontal="center" vertical="center"/>
    </xf>
    <xf numFmtId="0" fontId="89" fillId="71" borderId="88" xfId="0" applyFont="1" applyFill="1" applyBorder="1" applyAlignment="1">
      <alignment horizontal="center" vertical="center"/>
    </xf>
    <xf numFmtId="0" fontId="81" fillId="0" borderId="64" xfId="0" applyFont="1" applyBorder="1" applyAlignment="1">
      <alignment horizontal="left" vertical="center" wrapText="1"/>
    </xf>
    <xf numFmtId="0" fontId="81" fillId="0" borderId="26" xfId="0" applyFont="1" applyBorder="1" applyAlignment="1">
      <alignment horizontal="left" vertical="center" wrapText="1"/>
    </xf>
    <xf numFmtId="0" fontId="81" fillId="0" borderId="64" xfId="0" applyFont="1" applyBorder="1" applyAlignment="1">
      <alignment vertical="center" wrapText="1"/>
    </xf>
    <xf numFmtId="0" fontId="81" fillId="0" borderId="26" xfId="0" applyFont="1" applyBorder="1" applyAlignment="1">
      <alignment vertical="center" wrapText="1"/>
    </xf>
    <xf numFmtId="0" fontId="86" fillId="0" borderId="64" xfId="0" applyFont="1" applyBorder="1" applyAlignment="1">
      <alignment horizontal="center" vertical="center" wrapText="1"/>
    </xf>
    <xf numFmtId="0" fontId="86" fillId="0" borderId="26" xfId="0" applyFont="1" applyBorder="1" applyAlignment="1">
      <alignment horizontal="center" vertical="center" wrapText="1"/>
    </xf>
    <xf numFmtId="6" fontId="56" fillId="65" borderId="41" xfId="1" quotePrefix="1" applyNumberFormat="1" applyFont="1" applyFill="1" applyBorder="1" applyAlignment="1">
      <alignment horizontal="center"/>
    </xf>
    <xf numFmtId="6" fontId="56" fillId="65" borderId="38" xfId="1" quotePrefix="1" applyNumberFormat="1" applyFont="1" applyFill="1" applyBorder="1" applyAlignment="1">
      <alignment horizontal="center"/>
    </xf>
    <xf numFmtId="6" fontId="56" fillId="65" borderId="40" xfId="1" quotePrefix="1" applyNumberFormat="1" applyFont="1" applyFill="1" applyBorder="1" applyAlignment="1">
      <alignment horizontal="center"/>
    </xf>
    <xf numFmtId="6" fontId="56" fillId="0" borderId="41" xfId="1" quotePrefix="1" applyNumberFormat="1" applyFont="1" applyBorder="1" applyAlignment="1">
      <alignment horizontal="center"/>
    </xf>
    <xf numFmtId="6" fontId="56" fillId="0" borderId="38" xfId="1" quotePrefix="1" applyNumberFormat="1" applyFont="1" applyBorder="1" applyAlignment="1">
      <alignment horizontal="center"/>
    </xf>
    <xf numFmtId="6" fontId="56" fillId="0" borderId="40" xfId="1" quotePrefix="1" applyNumberFormat="1" applyFont="1" applyBorder="1" applyAlignment="1">
      <alignment horizontal="center"/>
    </xf>
    <xf numFmtId="0" fontId="88" fillId="68" borderId="87" xfId="0" applyFont="1" applyFill="1" applyBorder="1" applyAlignment="1">
      <alignment horizontal="left" vertical="center"/>
    </xf>
    <xf numFmtId="0" fontId="88" fillId="68" borderId="88" xfId="0" applyFont="1" applyFill="1" applyBorder="1" applyAlignment="1">
      <alignment horizontal="left" vertical="center"/>
    </xf>
    <xf numFmtId="0" fontId="88" fillId="68" borderId="87" xfId="0" applyFont="1" applyFill="1" applyBorder="1" applyAlignment="1">
      <alignment horizontal="center" vertical="center"/>
    </xf>
    <xf numFmtId="0" fontId="88" fillId="68" borderId="88" xfId="0" applyFont="1" applyFill="1" applyBorder="1" applyAlignment="1">
      <alignment horizontal="center" vertical="center"/>
    </xf>
    <xf numFmtId="6" fontId="91" fillId="65" borderId="17" xfId="1" quotePrefix="1" applyNumberFormat="1" applyFont="1" applyFill="1" applyBorder="1" applyAlignment="1">
      <alignment horizontal="center"/>
    </xf>
    <xf numFmtId="6" fontId="91" fillId="65" borderId="15" xfId="1" quotePrefix="1" applyNumberFormat="1" applyFont="1" applyFill="1" applyBorder="1" applyAlignment="1">
      <alignment horizontal="center"/>
    </xf>
    <xf numFmtId="6" fontId="91" fillId="65" borderId="16" xfId="1" quotePrefix="1" applyNumberFormat="1" applyFont="1" applyFill="1" applyBorder="1" applyAlignment="1">
      <alignment horizontal="center"/>
    </xf>
    <xf numFmtId="6" fontId="91" fillId="0" borderId="78" xfId="1" quotePrefix="1" applyNumberFormat="1" applyFont="1" applyFill="1" applyBorder="1" applyAlignment="1">
      <alignment horizontal="center"/>
    </xf>
    <xf numFmtId="6" fontId="91" fillId="0" borderId="79" xfId="1" quotePrefix="1" applyNumberFormat="1" applyFont="1" applyFill="1" applyBorder="1" applyAlignment="1">
      <alignment horizontal="center"/>
    </xf>
    <xf numFmtId="0" fontId="91" fillId="0" borderId="78" xfId="2105" applyFont="1" applyFill="1" applyBorder="1" applyAlignment="1">
      <alignment horizontal="center"/>
    </xf>
    <xf numFmtId="0" fontId="105" fillId="0" borderId="79" xfId="2105" applyFont="1" applyFill="1" applyBorder="1" applyAlignment="1">
      <alignment horizontal="center" wrapText="1"/>
    </xf>
    <xf numFmtId="0" fontId="105" fillId="0" borderId="80" xfId="2105" applyFont="1" applyFill="1" applyBorder="1" applyAlignment="1">
      <alignment horizontal="center" wrapText="1"/>
    </xf>
    <xf numFmtId="6" fontId="91" fillId="0" borderId="77" xfId="1" quotePrefix="1" applyNumberFormat="1" applyFont="1" applyFill="1" applyBorder="1" applyAlignment="1">
      <alignment horizontal="center"/>
    </xf>
    <xf numFmtId="6" fontId="91" fillId="0" borderId="85" xfId="1" quotePrefix="1" applyNumberFormat="1" applyFont="1" applyFill="1" applyBorder="1" applyAlignment="1">
      <alignment horizontal="center"/>
    </xf>
    <xf numFmtId="0" fontId="112" fillId="65" borderId="41" xfId="2105" applyFont="1" applyFill="1" applyBorder="1" applyAlignment="1">
      <alignment horizontal="left"/>
    </xf>
    <xf numFmtId="0" fontId="112" fillId="65" borderId="40" xfId="2105" applyFont="1" applyFill="1" applyBorder="1" applyAlignment="1">
      <alignment horizontal="left"/>
    </xf>
    <xf numFmtId="0" fontId="112" fillId="65" borderId="38" xfId="2105" applyFont="1" applyFill="1" applyBorder="1" applyAlignment="1">
      <alignment horizontal="left"/>
    </xf>
    <xf numFmtId="173" fontId="93" fillId="65" borderId="41" xfId="2105" applyNumberFormat="1" applyFont="1" applyFill="1" applyBorder="1" applyAlignment="1">
      <alignment horizontal="left"/>
    </xf>
    <xf numFmtId="173" fontId="93" fillId="65" borderId="38" xfId="2105" applyNumberFormat="1" applyFont="1" applyFill="1" applyBorder="1" applyAlignment="1">
      <alignment horizontal="left"/>
    </xf>
    <xf numFmtId="173" fontId="93" fillId="65" borderId="40" xfId="2105" applyNumberFormat="1" applyFont="1" applyFill="1" applyBorder="1" applyAlignment="1">
      <alignment horizontal="left"/>
    </xf>
    <xf numFmtId="44" fontId="56" fillId="0" borderId="14" xfId="1" applyFont="1" applyFill="1" applyBorder="1" applyAlignment="1">
      <alignment horizontal="left" vertical="center" wrapText="1"/>
    </xf>
    <xf numFmtId="44" fontId="56" fillId="0" borderId="13" xfId="1" applyFont="1" applyFill="1" applyBorder="1" applyAlignment="1">
      <alignment horizontal="left" vertical="center" wrapText="1"/>
    </xf>
    <xf numFmtId="44" fontId="56" fillId="0" borderId="12" xfId="1" applyFont="1" applyFill="1" applyBorder="1" applyAlignment="1">
      <alignment horizontal="left" vertical="center" wrapText="1"/>
    </xf>
    <xf numFmtId="6" fontId="56" fillId="0" borderId="17" xfId="1" quotePrefix="1" applyNumberFormat="1" applyFont="1" applyBorder="1" applyAlignment="1">
      <alignment horizontal="center"/>
    </xf>
    <xf numFmtId="6" fontId="56" fillId="0" borderId="15" xfId="1" quotePrefix="1" applyNumberFormat="1" applyFont="1" applyBorder="1" applyAlignment="1">
      <alignment horizontal="center"/>
    </xf>
    <xf numFmtId="6" fontId="56" fillId="0" borderId="16" xfId="1" quotePrefix="1" applyNumberFormat="1" applyFont="1" applyBorder="1" applyAlignment="1">
      <alignment horizontal="center"/>
    </xf>
    <xf numFmtId="6" fontId="56" fillId="0" borderId="77" xfId="1" quotePrefix="1" applyNumberFormat="1" applyFont="1" applyBorder="1" applyAlignment="1">
      <alignment horizontal="center"/>
    </xf>
    <xf numFmtId="6" fontId="56" fillId="0" borderId="78" xfId="1" quotePrefix="1" applyNumberFormat="1" applyFont="1" applyBorder="1" applyAlignment="1">
      <alignment horizontal="center"/>
    </xf>
    <xf numFmtId="6" fontId="56" fillId="0" borderId="79" xfId="1" quotePrefix="1" applyNumberFormat="1" applyFont="1" applyBorder="1" applyAlignment="1">
      <alignment horizontal="center"/>
    </xf>
    <xf numFmtId="6" fontId="56" fillId="65" borderId="15" xfId="1" quotePrefix="1" applyNumberFormat="1" applyFont="1" applyFill="1" applyBorder="1" applyAlignment="1">
      <alignment horizontal="center"/>
    </xf>
    <xf numFmtId="6" fontId="56" fillId="65" borderId="16" xfId="1" quotePrefix="1" applyNumberFormat="1" applyFont="1" applyFill="1" applyBorder="1" applyAlignment="1">
      <alignment horizontal="center"/>
    </xf>
    <xf numFmtId="6" fontId="56" fillId="0" borderId="1" xfId="1" quotePrefix="1" applyNumberFormat="1" applyFont="1" applyBorder="1" applyAlignment="1">
      <alignment horizontal="center"/>
    </xf>
    <xf numFmtId="44" fontId="56" fillId="0" borderId="17" xfId="1" applyFont="1" applyBorder="1" applyAlignment="1">
      <alignment horizontal="center"/>
    </xf>
    <xf numFmtId="44" fontId="56" fillId="0" borderId="15" xfId="1" applyFont="1" applyBorder="1" applyAlignment="1">
      <alignment horizontal="center"/>
    </xf>
    <xf numFmtId="44" fontId="56" fillId="0" borderId="16" xfId="1" applyFont="1" applyBorder="1" applyAlignment="1">
      <alignment horizontal="center"/>
    </xf>
    <xf numFmtId="44" fontId="112" fillId="0" borderId="17" xfId="1" applyFont="1" applyBorder="1" applyAlignment="1">
      <alignment horizontal="left"/>
    </xf>
    <xf numFmtId="44" fontId="112" fillId="0" borderId="15" xfId="1" applyFont="1" applyBorder="1" applyAlignment="1">
      <alignment horizontal="left"/>
    </xf>
    <xf numFmtId="44" fontId="112" fillId="0" borderId="16" xfId="1" applyFont="1" applyBorder="1" applyAlignment="1">
      <alignment horizontal="left"/>
    </xf>
    <xf numFmtId="44" fontId="56" fillId="0" borderId="96" xfId="1" applyFont="1" applyFill="1" applyBorder="1" applyAlignment="1">
      <alignment horizontal="left" vertical="center"/>
    </xf>
    <xf numFmtId="44" fontId="56" fillId="0" borderId="95" xfId="1" applyFont="1" applyFill="1" applyBorder="1" applyAlignment="1">
      <alignment horizontal="left" vertical="center"/>
    </xf>
    <xf numFmtId="44" fontId="56" fillId="0" borderId="98" xfId="1" applyFont="1" applyFill="1" applyBorder="1" applyAlignment="1">
      <alignment horizontal="left" vertical="center"/>
    </xf>
    <xf numFmtId="6" fontId="91" fillId="72" borderId="17" xfId="1" quotePrefix="1" applyNumberFormat="1" applyFont="1" applyFill="1" applyBorder="1" applyAlignment="1">
      <alignment horizontal="center"/>
    </xf>
    <xf numFmtId="6" fontId="91" fillId="72" borderId="15" xfId="1" quotePrefix="1" applyNumberFormat="1" applyFont="1" applyFill="1" applyBorder="1" applyAlignment="1">
      <alignment horizontal="center"/>
    </xf>
    <xf numFmtId="6" fontId="91" fillId="72" borderId="16" xfId="1" quotePrefix="1" applyNumberFormat="1" applyFont="1" applyFill="1" applyBorder="1" applyAlignment="1">
      <alignment horizontal="center"/>
    </xf>
    <xf numFmtId="44" fontId="56" fillId="0" borderId="17" xfId="1" applyFont="1" applyFill="1" applyBorder="1" applyAlignment="1">
      <alignment horizontal="left"/>
    </xf>
    <xf numFmtId="44" fontId="56" fillId="0" borderId="15" xfId="1" applyFont="1" applyFill="1" applyBorder="1" applyAlignment="1">
      <alignment horizontal="left"/>
    </xf>
    <xf numFmtId="44" fontId="56" fillId="0" borderId="16" xfId="1" applyFont="1" applyFill="1" applyBorder="1" applyAlignment="1">
      <alignment horizontal="left"/>
    </xf>
    <xf numFmtId="44" fontId="91" fillId="0" borderId="99" xfId="1" applyFont="1" applyFill="1" applyBorder="1" applyAlignment="1">
      <alignment horizontal="left" vertical="center" wrapText="1"/>
    </xf>
    <xf numFmtId="44" fontId="91" fillId="0" borderId="9" xfId="1" applyFont="1" applyFill="1" applyBorder="1" applyAlignment="1">
      <alignment horizontal="left" vertical="center" wrapText="1"/>
    </xf>
    <xf numFmtId="44" fontId="91" fillId="0" borderId="100" xfId="1" applyFont="1" applyFill="1" applyBorder="1" applyAlignment="1">
      <alignment horizontal="left" vertical="center" wrapText="1"/>
    </xf>
    <xf numFmtId="44" fontId="91" fillId="0" borderId="63" xfId="1" applyFont="1" applyFill="1" applyBorder="1" applyAlignment="1">
      <alignment horizontal="left" vertical="center" wrapText="1"/>
    </xf>
    <xf numFmtId="44" fontId="91" fillId="0" borderId="76" xfId="1" applyFont="1" applyFill="1" applyBorder="1" applyAlignment="1">
      <alignment horizontal="left" vertical="center" wrapText="1"/>
    </xf>
    <xf numFmtId="44" fontId="91" fillId="0" borderId="24" xfId="1" applyFont="1" applyFill="1" applyBorder="1" applyAlignment="1">
      <alignment horizontal="left" vertical="center" wrapText="1"/>
    </xf>
    <xf numFmtId="6" fontId="56" fillId="0" borderId="4" xfId="1" quotePrefix="1" applyNumberFormat="1" applyFont="1" applyBorder="1" applyAlignment="1">
      <alignment horizontal="center"/>
    </xf>
    <xf numFmtId="6" fontId="56" fillId="0" borderId="5" xfId="1" quotePrefix="1" applyNumberFormat="1" applyFont="1" applyBorder="1" applyAlignment="1">
      <alignment horizontal="center"/>
    </xf>
    <xf numFmtId="6" fontId="56" fillId="0" borderId="6" xfId="1" quotePrefix="1" applyNumberFormat="1" applyFont="1" applyBorder="1" applyAlignment="1">
      <alignment horizontal="center"/>
    </xf>
    <xf numFmtId="6" fontId="56" fillId="65" borderId="5" xfId="1" quotePrefix="1" applyNumberFormat="1" applyFont="1" applyFill="1" applyBorder="1" applyAlignment="1">
      <alignment horizontal="center"/>
    </xf>
    <xf numFmtId="44" fontId="91" fillId="0" borderId="63" xfId="1" applyFont="1" applyFill="1" applyBorder="1" applyAlignment="1">
      <alignment horizontal="left" vertical="center"/>
    </xf>
    <xf numFmtId="44" fontId="91" fillId="0" borderId="76" xfId="1" applyFont="1" applyFill="1" applyBorder="1" applyAlignment="1">
      <alignment horizontal="left" vertical="center"/>
    </xf>
    <xf numFmtId="44" fontId="91" fillId="0" borderId="24" xfId="1" applyFont="1" applyFill="1" applyBorder="1" applyAlignment="1">
      <alignment horizontal="left" vertical="center"/>
    </xf>
    <xf numFmtId="6" fontId="91" fillId="65" borderId="77" xfId="1" quotePrefix="1" applyNumberFormat="1" applyFont="1" applyFill="1" applyBorder="1" applyAlignment="1">
      <alignment horizontal="center"/>
    </xf>
    <xf numFmtId="6" fontId="91" fillId="65" borderId="78" xfId="1" quotePrefix="1" applyNumberFormat="1" applyFont="1" applyFill="1" applyBorder="1" applyAlignment="1">
      <alignment horizontal="center"/>
    </xf>
    <xf numFmtId="6" fontId="91" fillId="65" borderId="79" xfId="1" quotePrefix="1" applyNumberFormat="1" applyFont="1" applyFill="1" applyBorder="1" applyAlignment="1">
      <alignment horizontal="center"/>
    </xf>
    <xf numFmtId="173" fontId="93" fillId="65" borderId="41" xfId="2105" applyNumberFormat="1" applyFont="1" applyFill="1" applyBorder="1" applyAlignment="1">
      <alignment horizontal="left" wrapText="1"/>
    </xf>
    <xf numFmtId="173" fontId="93" fillId="65" borderId="38" xfId="2105" applyNumberFormat="1" applyFont="1" applyFill="1" applyBorder="1" applyAlignment="1">
      <alignment horizontal="left" wrapText="1"/>
    </xf>
    <xf numFmtId="173" fontId="93" fillId="65" borderId="40" xfId="2105" applyNumberFormat="1" applyFont="1" applyFill="1" applyBorder="1" applyAlignment="1">
      <alignment horizontal="left" wrapText="1"/>
    </xf>
    <xf numFmtId="6" fontId="56" fillId="65" borderId="17" xfId="1" quotePrefix="1" applyNumberFormat="1" applyFont="1" applyFill="1" applyBorder="1" applyAlignment="1">
      <alignment horizontal="center"/>
    </xf>
    <xf numFmtId="44" fontId="2" fillId="0" borderId="96" xfId="1" applyFont="1" applyFill="1" applyBorder="1" applyAlignment="1">
      <alignment horizontal="left" wrapText="1"/>
    </xf>
    <xf numFmtId="44" fontId="2" fillId="0" borderId="95" xfId="1" applyFont="1" applyFill="1" applyBorder="1" applyAlignment="1">
      <alignment horizontal="left" wrapText="1"/>
    </xf>
    <xf numFmtId="44" fontId="2" fillId="0" borderId="98" xfId="1" applyFont="1" applyFill="1" applyBorder="1" applyAlignment="1">
      <alignment horizontal="left" wrapText="1"/>
    </xf>
    <xf numFmtId="44" fontId="56" fillId="0" borderId="17" xfId="1" applyFont="1" applyFill="1" applyBorder="1" applyAlignment="1">
      <alignment horizontal="center"/>
    </xf>
    <xf numFmtId="44" fontId="56" fillId="0" borderId="15" xfId="1" applyFont="1" applyFill="1" applyBorder="1" applyAlignment="1">
      <alignment horizontal="center"/>
    </xf>
    <xf numFmtId="44" fontId="56" fillId="0" borderId="16" xfId="1" applyFont="1" applyFill="1" applyBorder="1" applyAlignment="1">
      <alignment horizontal="center"/>
    </xf>
    <xf numFmtId="44" fontId="68" fillId="0" borderId="19" xfId="1" applyFont="1" applyFill="1" applyBorder="1" applyAlignment="1">
      <alignment horizontal="left"/>
    </xf>
    <xf numFmtId="44" fontId="68" fillId="0" borderId="5" xfId="1" applyFont="1" applyFill="1" applyBorder="1" applyAlignment="1">
      <alignment horizontal="left"/>
    </xf>
    <xf numFmtId="44" fontId="68" fillId="0" borderId="18" xfId="1" applyFont="1" applyFill="1" applyBorder="1" applyAlignment="1">
      <alignment horizontal="left"/>
    </xf>
    <xf numFmtId="44" fontId="68" fillId="0" borderId="19" xfId="1" applyFont="1" applyFill="1" applyBorder="1" applyAlignment="1">
      <alignment horizontal="left" vertical="center"/>
    </xf>
    <xf numFmtId="44" fontId="68" fillId="0" borderId="5" xfId="1" applyFont="1" applyFill="1" applyBorder="1" applyAlignment="1">
      <alignment horizontal="left" vertical="center"/>
    </xf>
    <xf numFmtId="44" fontId="68" fillId="0" borderId="18" xfId="1" applyFont="1" applyFill="1" applyBorder="1" applyAlignment="1">
      <alignment horizontal="left" vertical="center"/>
    </xf>
    <xf numFmtId="44" fontId="91" fillId="0" borderId="38" xfId="1" applyFont="1" applyFill="1" applyBorder="1" applyAlignment="1">
      <alignment horizontal="right"/>
    </xf>
    <xf numFmtId="44" fontId="91" fillId="0" borderId="101" xfId="1" applyFont="1" applyFill="1" applyBorder="1" applyAlignment="1">
      <alignment horizontal="right"/>
    </xf>
    <xf numFmtId="0" fontId="112" fillId="0" borderId="17" xfId="0" applyFont="1" applyFill="1" applyBorder="1" applyAlignment="1">
      <alignment horizontal="left"/>
    </xf>
    <xf numFmtId="0" fontId="112" fillId="0" borderId="15" xfId="0" applyFont="1" applyFill="1" applyBorder="1" applyAlignment="1">
      <alignment horizontal="left"/>
    </xf>
    <xf numFmtId="0" fontId="112" fillId="0" borderId="16" xfId="0" applyFont="1" applyFill="1" applyBorder="1" applyAlignment="1">
      <alignment horizontal="left"/>
    </xf>
    <xf numFmtId="44" fontId="2" fillId="0" borderId="63" xfId="1" applyFont="1" applyBorder="1" applyAlignment="1">
      <alignment horizontal="left" vertical="center" wrapText="1"/>
    </xf>
    <xf numFmtId="44" fontId="2" fillId="0" borderId="76" xfId="1" applyFont="1" applyBorder="1" applyAlignment="1">
      <alignment horizontal="left" vertical="center" wrapText="1"/>
    </xf>
    <xf numFmtId="44" fontId="2" fillId="0" borderId="24" xfId="1" applyFont="1" applyBorder="1" applyAlignment="1">
      <alignment horizontal="left" vertical="center" wrapText="1"/>
    </xf>
    <xf numFmtId="44" fontId="2" fillId="0" borderId="65" xfId="1" applyFont="1" applyFill="1" applyBorder="1" applyAlignment="1">
      <alignment horizontal="center" vertical="center" wrapText="1"/>
    </xf>
    <xf numFmtId="44" fontId="2" fillId="0" borderId="0" xfId="1" applyFont="1" applyFill="1" applyBorder="1" applyAlignment="1">
      <alignment horizontal="center" vertical="center" wrapText="1"/>
    </xf>
    <xf numFmtId="44" fontId="2" fillId="0" borderId="23" xfId="1" applyFont="1" applyFill="1" applyBorder="1" applyAlignment="1">
      <alignment horizontal="center" vertical="center" wrapText="1"/>
    </xf>
    <xf numFmtId="44" fontId="2" fillId="0" borderId="65" xfId="1" applyFont="1" applyBorder="1" applyAlignment="1">
      <alignment horizontal="left" vertical="center" wrapText="1"/>
    </xf>
    <xf numFmtId="44" fontId="2" fillId="0" borderId="0" xfId="1" applyFont="1" applyBorder="1" applyAlignment="1">
      <alignment horizontal="left" vertical="center" wrapText="1"/>
    </xf>
    <xf numFmtId="44" fontId="2" fillId="0" borderId="23" xfId="1" applyFont="1" applyBorder="1" applyAlignment="1">
      <alignment horizontal="left" vertical="center" wrapText="1"/>
    </xf>
    <xf numFmtId="44" fontId="0" fillId="0" borderId="27" xfId="1" applyFont="1" applyFill="1" applyBorder="1" applyAlignment="1">
      <alignment horizontal="center"/>
    </xf>
    <xf numFmtId="44" fontId="0" fillId="0" borderId="1" xfId="1" applyFont="1" applyFill="1" applyBorder="1" applyAlignment="1">
      <alignment horizontal="center"/>
    </xf>
    <xf numFmtId="44" fontId="2" fillId="0" borderId="27" xfId="1" applyFont="1" applyFill="1" applyBorder="1" applyAlignment="1">
      <alignment horizontal="center"/>
    </xf>
    <xf numFmtId="44" fontId="2" fillId="0" borderId="1" xfId="1" applyFont="1" applyFill="1" applyBorder="1" applyAlignment="1">
      <alignment horizontal="center"/>
    </xf>
    <xf numFmtId="0" fontId="65" fillId="65" borderId="64" xfId="0" applyFont="1" applyFill="1" applyBorder="1" applyAlignment="1">
      <alignment horizontal="left" wrapText="1"/>
    </xf>
    <xf numFmtId="0" fontId="65" fillId="65" borderId="46" xfId="0" applyFont="1" applyFill="1" applyBorder="1" applyAlignment="1">
      <alignment horizontal="left" wrapText="1"/>
    </xf>
    <xf numFmtId="0" fontId="65" fillId="65" borderId="64" xfId="0" applyFont="1" applyFill="1" applyBorder="1" applyAlignment="1">
      <alignment horizontal="center" vertical="center" wrapText="1"/>
    </xf>
    <xf numFmtId="0" fontId="65" fillId="65" borderId="46" xfId="0" applyFont="1" applyFill="1" applyBorder="1" applyAlignment="1">
      <alignment horizontal="center" vertical="center" wrapText="1"/>
    </xf>
    <xf numFmtId="0" fontId="65" fillId="65" borderId="26" xfId="0" applyFont="1" applyFill="1" applyBorder="1" applyAlignment="1">
      <alignment horizontal="center" vertical="center" wrapText="1"/>
    </xf>
    <xf numFmtId="44" fontId="92" fillId="0" borderId="27" xfId="1" applyFont="1" applyFill="1" applyBorder="1" applyAlignment="1">
      <alignment horizontal="center"/>
    </xf>
    <xf numFmtId="44" fontId="92" fillId="0" borderId="1" xfId="1" applyFont="1" applyFill="1" applyBorder="1" applyAlignment="1">
      <alignment horizontal="center"/>
    </xf>
    <xf numFmtId="0" fontId="65" fillId="0" borderId="46" xfId="0" applyFont="1" applyFill="1" applyBorder="1" applyAlignment="1">
      <alignment horizontal="center" vertical="center" wrapText="1"/>
    </xf>
    <xf numFmtId="0" fontId="65" fillId="0" borderId="26" xfId="0" applyFont="1" applyFill="1" applyBorder="1" applyAlignment="1">
      <alignment horizontal="center" vertical="center" wrapText="1"/>
    </xf>
    <xf numFmtId="0" fontId="65" fillId="0" borderId="64" xfId="0" applyFont="1" applyFill="1" applyBorder="1" applyAlignment="1">
      <alignment horizontal="center" vertical="center" wrapText="1"/>
    </xf>
    <xf numFmtId="0" fontId="65" fillId="0" borderId="64" xfId="0" applyFont="1" applyFill="1" applyBorder="1" applyAlignment="1">
      <alignment horizontal="left" wrapText="1"/>
    </xf>
    <xf numFmtId="0" fontId="65" fillId="0" borderId="46" xfId="0" applyFont="1" applyFill="1" applyBorder="1" applyAlignment="1">
      <alignment horizontal="left" wrapText="1"/>
    </xf>
    <xf numFmtId="44" fontId="56" fillId="0" borderId="96" xfId="1" applyFont="1" applyFill="1" applyBorder="1" applyAlignment="1">
      <alignment horizontal="left" vertical="center" wrapText="1"/>
    </xf>
    <xf numFmtId="44" fontId="56" fillId="0" borderId="95" xfId="1" applyFont="1" applyFill="1" applyBorder="1" applyAlignment="1">
      <alignment horizontal="left" vertical="center" wrapText="1"/>
    </xf>
    <xf numFmtId="44" fontId="56" fillId="0" borderId="98" xfId="1" applyFont="1" applyFill="1" applyBorder="1" applyAlignment="1">
      <alignment horizontal="left" vertical="center" wrapText="1"/>
    </xf>
    <xf numFmtId="44" fontId="56" fillId="0" borderId="61" xfId="1" applyFont="1" applyFill="1" applyBorder="1" applyAlignment="1">
      <alignment horizontal="center"/>
    </xf>
    <xf numFmtId="44" fontId="56" fillId="0" borderId="22" xfId="1" applyFont="1" applyFill="1" applyBorder="1" applyAlignment="1">
      <alignment horizontal="center"/>
    </xf>
    <xf numFmtId="44" fontId="75" fillId="0" borderId="4" xfId="1" applyFont="1" applyFill="1" applyBorder="1" applyAlignment="1">
      <alignment horizontal="left" wrapText="1"/>
    </xf>
    <xf numFmtId="44" fontId="75" fillId="0" borderId="6" xfId="1" applyFont="1" applyFill="1" applyBorder="1" applyAlignment="1">
      <alignment horizontal="left" wrapText="1"/>
    </xf>
    <xf numFmtId="44" fontId="56" fillId="0" borderId="96" xfId="1" applyFont="1" applyFill="1" applyBorder="1" applyAlignment="1">
      <alignment horizontal="center" vertical="center"/>
    </xf>
    <xf numFmtId="44" fontId="56" fillId="0" borderId="95" xfId="1" applyFont="1" applyFill="1" applyBorder="1" applyAlignment="1">
      <alignment horizontal="center" vertical="center"/>
    </xf>
    <xf numFmtId="44" fontId="56" fillId="0" borderId="98" xfId="1" applyFont="1" applyFill="1" applyBorder="1" applyAlignment="1">
      <alignment horizontal="center" vertical="center"/>
    </xf>
    <xf numFmtId="44" fontId="75" fillId="0" borderId="38" xfId="1" applyFont="1" applyFill="1" applyBorder="1" applyAlignment="1">
      <alignment horizontal="right"/>
    </xf>
    <xf numFmtId="44" fontId="75" fillId="0" borderId="101" xfId="1" applyFont="1" applyFill="1" applyBorder="1" applyAlignment="1">
      <alignment horizontal="right"/>
    </xf>
    <xf numFmtId="0" fontId="0" fillId="0" borderId="7" xfId="0" applyBorder="1" applyAlignment="1">
      <alignment horizontal="center"/>
    </xf>
    <xf numFmtId="0" fontId="0" fillId="2" borderId="36" xfId="0" applyFill="1" applyBorder="1" applyAlignment="1">
      <alignment vertical="center" wrapText="1"/>
    </xf>
    <xf numFmtId="0" fontId="0" fillId="2" borderId="41" xfId="0" applyFill="1" applyBorder="1" applyAlignment="1">
      <alignment horizontal="center" wrapText="1"/>
    </xf>
    <xf numFmtId="0" fontId="0" fillId="2" borderId="38" xfId="0" applyFill="1" applyBorder="1" applyAlignment="1">
      <alignment horizontal="center" wrapText="1"/>
    </xf>
    <xf numFmtId="0" fontId="0" fillId="2" borderId="40" xfId="0" applyFill="1" applyBorder="1" applyAlignment="1">
      <alignment horizontal="center" wrapText="1"/>
    </xf>
    <xf numFmtId="0" fontId="0" fillId="2" borderId="76" xfId="0" applyFill="1" applyBorder="1" applyAlignment="1">
      <alignment horizontal="center" wrapText="1"/>
    </xf>
    <xf numFmtId="0" fontId="57" fillId="64" borderId="67" xfId="0" applyFont="1" applyFill="1" applyBorder="1" applyAlignment="1">
      <alignment horizontal="center" vertical="center" wrapText="1"/>
    </xf>
    <xf numFmtId="0" fontId="57" fillId="64" borderId="69" xfId="0" applyFont="1" applyFill="1" applyBorder="1" applyAlignment="1">
      <alignment horizontal="center" vertical="center" wrapText="1"/>
    </xf>
    <xf numFmtId="0" fontId="57" fillId="64" borderId="68" xfId="0" applyFont="1" applyFill="1" applyBorder="1" applyAlignment="1">
      <alignment horizontal="center" vertical="center" wrapText="1"/>
    </xf>
    <xf numFmtId="0" fontId="57" fillId="64" borderId="75" xfId="0" applyFont="1" applyFill="1" applyBorder="1" applyAlignment="1">
      <alignment horizontal="center" vertical="center" wrapText="1"/>
    </xf>
    <xf numFmtId="0" fontId="57" fillId="64" borderId="72" xfId="0" applyFont="1" applyFill="1" applyBorder="1" applyAlignment="1">
      <alignment horizontal="center" vertical="center" wrapText="1"/>
    </xf>
    <xf numFmtId="0" fontId="57" fillId="64" borderId="71" xfId="0" applyFont="1" applyFill="1" applyBorder="1" applyAlignment="1">
      <alignment horizontal="center" vertical="center" wrapText="1"/>
    </xf>
    <xf numFmtId="0" fontId="57" fillId="64" borderId="67" xfId="0" applyFont="1" applyFill="1" applyBorder="1" applyAlignment="1">
      <alignment vertical="center" wrapText="1"/>
    </xf>
    <xf numFmtId="0" fontId="57" fillId="64" borderId="69" xfId="0" applyFont="1" applyFill="1" applyBorder="1" applyAlignment="1">
      <alignment vertical="center" wrapText="1"/>
    </xf>
    <xf numFmtId="0" fontId="7" fillId="4" borderId="14" xfId="0" applyFont="1" applyFill="1" applyBorder="1" applyAlignment="1">
      <alignment vertical="center" wrapText="1"/>
    </xf>
    <xf numFmtId="0" fontId="7" fillId="4" borderId="13" xfId="0" applyFont="1" applyFill="1" applyBorder="1" applyAlignment="1">
      <alignment vertical="center" wrapText="1"/>
    </xf>
    <xf numFmtId="0" fontId="7" fillId="4" borderId="12" xfId="0" applyFont="1" applyFill="1" applyBorder="1" applyAlignment="1">
      <alignment vertical="center" wrapText="1"/>
    </xf>
    <xf numFmtId="0" fontId="0" fillId="2" borderId="1" xfId="0" applyFill="1" applyBorder="1" applyAlignment="1">
      <alignment horizontal="center"/>
    </xf>
    <xf numFmtId="0" fontId="0" fillId="0" borderId="1" xfId="0" applyBorder="1" applyAlignment="1">
      <alignment horizontal="center" wrapText="1"/>
    </xf>
    <xf numFmtId="0" fontId="0" fillId="2" borderId="1" xfId="0" applyFill="1" applyBorder="1" applyAlignment="1">
      <alignment horizontal="center" wrapText="1"/>
    </xf>
  </cellXfs>
  <cellStyles count="2110">
    <cellStyle name="20% - Accent1" xfId="161" builtinId="30" customBuiltin="1"/>
    <cellStyle name="20% - Accent1 2" xfId="58"/>
    <cellStyle name="20% - Accent2" xfId="165" builtinId="34" customBuiltin="1"/>
    <cellStyle name="20% - Accent2 2" xfId="59"/>
    <cellStyle name="20% - Accent3" xfId="169" builtinId="38" customBuiltin="1"/>
    <cellStyle name="20% - Accent3 2" xfId="60"/>
    <cellStyle name="20% - Accent4" xfId="173" builtinId="42" customBuiltin="1"/>
    <cellStyle name="20% - Accent4 2" xfId="61"/>
    <cellStyle name="20% - Accent5" xfId="177" builtinId="46" customBuiltin="1"/>
    <cellStyle name="20% - Accent5 2" xfId="62"/>
    <cellStyle name="20% - Accent6" xfId="181" builtinId="50" customBuiltin="1"/>
    <cellStyle name="20% - Accent6 2" xfId="63"/>
    <cellStyle name="40% - Accent1" xfId="162" builtinId="31" customBuiltin="1"/>
    <cellStyle name="40% - Accent1 2" xfId="64"/>
    <cellStyle name="40% - Accent2" xfId="166" builtinId="35" customBuiltin="1"/>
    <cellStyle name="40% - Accent2 2" xfId="65"/>
    <cellStyle name="40% - Accent3" xfId="170" builtinId="39" customBuiltin="1"/>
    <cellStyle name="40% - Accent3 2" xfId="66"/>
    <cellStyle name="40% - Accent4" xfId="174" builtinId="43" customBuiltin="1"/>
    <cellStyle name="40% - Accent4 2" xfId="67"/>
    <cellStyle name="40% - Accent5" xfId="178" builtinId="47" customBuiltin="1"/>
    <cellStyle name="40% - Accent5 2" xfId="68"/>
    <cellStyle name="40% - Accent6" xfId="182" builtinId="51" customBuiltin="1"/>
    <cellStyle name="40% - Accent6 2" xfId="69"/>
    <cellStyle name="60% - Accent1" xfId="163" builtinId="32" customBuiltin="1"/>
    <cellStyle name="60% - Accent1 2" xfId="70"/>
    <cellStyle name="60% - Accent2" xfId="167" builtinId="36" customBuiltin="1"/>
    <cellStyle name="60% - Accent2 2" xfId="71"/>
    <cellStyle name="60% - Accent3" xfId="171" builtinId="40" customBuiltin="1"/>
    <cellStyle name="60% - Accent3 2" xfId="72"/>
    <cellStyle name="60% - Accent4" xfId="175" builtinId="44" customBuiltin="1"/>
    <cellStyle name="60% - Accent4 2" xfId="73"/>
    <cellStyle name="60% - Accent5" xfId="179" builtinId="48" customBuiltin="1"/>
    <cellStyle name="60% - Accent5 2" xfId="74"/>
    <cellStyle name="60% - Accent6" xfId="183" builtinId="52" customBuiltin="1"/>
    <cellStyle name="60% - Accent6 2" xfId="75"/>
    <cellStyle name="Accent1" xfId="160" builtinId="29" customBuiltin="1"/>
    <cellStyle name="Accent1 2" xfId="76"/>
    <cellStyle name="Accent2" xfId="164" builtinId="33" customBuiltin="1"/>
    <cellStyle name="Accent2 2" xfId="77"/>
    <cellStyle name="Accent3" xfId="168" builtinId="37" customBuiltin="1"/>
    <cellStyle name="Accent3 2" xfId="78"/>
    <cellStyle name="Accent4" xfId="172" builtinId="41" customBuiltin="1"/>
    <cellStyle name="Accent4 2" xfId="79"/>
    <cellStyle name="Accent5" xfId="176" builtinId="45" customBuiltin="1"/>
    <cellStyle name="Accent5 2" xfId="80"/>
    <cellStyle name="Accent6" xfId="180" builtinId="49" customBuiltin="1"/>
    <cellStyle name="Accent6 2" xfId="81"/>
    <cellStyle name="Bad" xfId="149" builtinId="27" customBuiltin="1"/>
    <cellStyle name="Bad 2" xfId="82"/>
    <cellStyle name="Calculation" xfId="153" builtinId="22" customBuiltin="1"/>
    <cellStyle name="Calculation 2" xfId="83"/>
    <cellStyle name="Calculation 2 2" xfId="136"/>
    <cellStyle name="Check Cell" xfId="155" builtinId="23" customBuiltin="1"/>
    <cellStyle name="Check Cell 2" xfId="84"/>
    <cellStyle name="Comma" xfId="3" builtinId="3"/>
    <cellStyle name="Comma 2" xfId="6"/>
    <cellStyle name="Comma 2 2" xfId="27"/>
    <cellStyle name="Comma 2 2 2" xfId="85"/>
    <cellStyle name="Comma 2 3" xfId="86"/>
    <cellStyle name="Comma 3" xfId="7"/>
    <cellStyle name="Comma 3 2" xfId="28"/>
    <cellStyle name="Comma 3 2 2" xfId="87"/>
    <cellStyle name="Comma 3 3" xfId="88"/>
    <cellStyle name="Comma 3 4" xfId="125"/>
    <cellStyle name="Comma 4" xfId="126"/>
    <cellStyle name="Comma 5" xfId="5"/>
    <cellStyle name="Currency" xfId="1" builtinId="4"/>
    <cellStyle name="Currency 2" xfId="9"/>
    <cellStyle name="Currency 2 2" xfId="29"/>
    <cellStyle name="Currency 2 2 2" xfId="89"/>
    <cellStyle name="Currency 2 3" xfId="90"/>
    <cellStyle name="Currency 3" xfId="10"/>
    <cellStyle name="Currency 3 2" xfId="30"/>
    <cellStyle name="Currency 3 2 2" xfId="91"/>
    <cellStyle name="Currency 3 3" xfId="92"/>
    <cellStyle name="Currency 3 4" xfId="127"/>
    <cellStyle name="Currency 4" xfId="8"/>
    <cellStyle name="Currency 5" xfId="2106"/>
    <cellStyle name="Data Field" xfId="11"/>
    <cellStyle name="Data Field 2" xfId="31"/>
    <cellStyle name="Data Field 2 2" xfId="93"/>
    <cellStyle name="Data Field 3" xfId="94"/>
    <cellStyle name="Data Name" xfId="12"/>
    <cellStyle name="Date/Time" xfId="13"/>
    <cellStyle name="Explanatory Text" xfId="158" builtinId="53" customBuiltin="1"/>
    <cellStyle name="Explanatory Text 2" xfId="95"/>
    <cellStyle name="Good" xfId="148" builtinId="26" customBuiltin="1"/>
    <cellStyle name="Good 2" xfId="96"/>
    <cellStyle name="Heading" xfId="14"/>
    <cellStyle name="Heading 1" xfId="144" builtinId="16" customBuiltin="1"/>
    <cellStyle name="Heading 1 2" xfId="97"/>
    <cellStyle name="Heading 2" xfId="145" builtinId="17" customBuiltin="1"/>
    <cellStyle name="Heading 2 2" xfId="15"/>
    <cellStyle name="Heading 2 2 2" xfId="186"/>
    <cellStyle name="Heading 2 3" xfId="133"/>
    <cellStyle name="Heading 3" xfId="146" builtinId="18" customBuiltin="1"/>
    <cellStyle name="Heading 3 2" xfId="98"/>
    <cellStyle name="Heading 4" xfId="147" builtinId="19" customBuiltin="1"/>
    <cellStyle name="Heading 4 2" xfId="99"/>
    <cellStyle name="Hyperlink" xfId="2" builtinId="8"/>
    <cellStyle name="Hyperlink 2" xfId="16"/>
    <cellStyle name="Hyperlink 3" xfId="57"/>
    <cellStyle name="Hyperlink 3 2" xfId="2102"/>
    <cellStyle name="Hyperlink 3 3" xfId="187"/>
    <cellStyle name="Hyperlink 4" xfId="188"/>
    <cellStyle name="Hyperlink 5" xfId="2101"/>
    <cellStyle name="Input" xfId="151" builtinId="20" customBuiltin="1"/>
    <cellStyle name="Input 2" xfId="100"/>
    <cellStyle name="Input 2 2" xfId="137"/>
    <cellStyle name="Linked Cell" xfId="154" builtinId="24" customBuiltin="1"/>
    <cellStyle name="Linked Cell 2" xfId="101"/>
    <cellStyle name="Neutral" xfId="150" builtinId="28" customBuiltin="1"/>
    <cellStyle name="Neutral 2" xfId="102"/>
    <cellStyle name="Normal" xfId="0" builtinId="0"/>
    <cellStyle name="Normal 10" xfId="32"/>
    <cellStyle name="Normal 10 2" xfId="122"/>
    <cellStyle name="Normal 10 2 2" xfId="2108"/>
    <cellStyle name="Normal 11" xfId="33"/>
    <cellStyle name="Normal 12" xfId="34"/>
    <cellStyle name="Normal 13" xfId="55"/>
    <cellStyle name="Normal 13 2" xfId="56"/>
    <cellStyle name="Normal 14" xfId="120"/>
    <cellStyle name="Normal 14 2" xfId="140"/>
    <cellStyle name="Normal 15" xfId="121"/>
    <cellStyle name="Normal 16" xfId="4"/>
    <cellStyle name="Normal 17" xfId="2105"/>
    <cellStyle name="Normal 2" xfId="17"/>
    <cellStyle name="Normal 2 10" xfId="189"/>
    <cellStyle name="Normal 2 10 10" xfId="190"/>
    <cellStyle name="Normal 2 10 11" xfId="191"/>
    <cellStyle name="Normal 2 10 12" xfId="192"/>
    <cellStyle name="Normal 2 10 13" xfId="193"/>
    <cellStyle name="Normal 2 10 14" xfId="194"/>
    <cellStyle name="Normal 2 10 15" xfId="195"/>
    <cellStyle name="Normal 2 10 16" xfId="196"/>
    <cellStyle name="Normal 2 10 17" xfId="197"/>
    <cellStyle name="Normal 2 10 18" xfId="198"/>
    <cellStyle name="Normal 2 10 19" xfId="199"/>
    <cellStyle name="Normal 2 10 2" xfId="200"/>
    <cellStyle name="Normal 2 10 20" xfId="201"/>
    <cellStyle name="Normal 2 10 21" xfId="202"/>
    <cellStyle name="Normal 2 10 22" xfId="203"/>
    <cellStyle name="Normal 2 10 23" xfId="204"/>
    <cellStyle name="Normal 2 10 3" xfId="205"/>
    <cellStyle name="Normal 2 10 4" xfId="206"/>
    <cellStyle name="Normal 2 10 5" xfId="207"/>
    <cellStyle name="Normal 2 10 6" xfId="208"/>
    <cellStyle name="Normal 2 10 7" xfId="209"/>
    <cellStyle name="Normal 2 10 8" xfId="210"/>
    <cellStyle name="Normal 2 10 9" xfId="211"/>
    <cellStyle name="Normal 2 105 8" xfId="2107"/>
    <cellStyle name="Normal 2 11" xfId="212"/>
    <cellStyle name="Normal 2 11 10" xfId="213"/>
    <cellStyle name="Normal 2 11 11" xfId="214"/>
    <cellStyle name="Normal 2 11 12" xfId="215"/>
    <cellStyle name="Normal 2 11 13" xfId="216"/>
    <cellStyle name="Normal 2 11 14" xfId="217"/>
    <cellStyle name="Normal 2 11 15" xfId="218"/>
    <cellStyle name="Normal 2 11 16" xfId="219"/>
    <cellStyle name="Normal 2 11 17" xfId="220"/>
    <cellStyle name="Normal 2 11 18" xfId="221"/>
    <cellStyle name="Normal 2 11 19" xfId="222"/>
    <cellStyle name="Normal 2 11 2" xfId="223"/>
    <cellStyle name="Normal 2 11 20" xfId="224"/>
    <cellStyle name="Normal 2 11 21" xfId="225"/>
    <cellStyle name="Normal 2 11 22" xfId="226"/>
    <cellStyle name="Normal 2 11 23" xfId="227"/>
    <cellStyle name="Normal 2 11 3" xfId="228"/>
    <cellStyle name="Normal 2 11 4" xfId="229"/>
    <cellStyle name="Normal 2 11 5" xfId="230"/>
    <cellStyle name="Normal 2 11 6" xfId="231"/>
    <cellStyle name="Normal 2 11 7" xfId="232"/>
    <cellStyle name="Normal 2 11 8" xfId="233"/>
    <cellStyle name="Normal 2 11 9" xfId="234"/>
    <cellStyle name="Normal 2 12" xfId="235"/>
    <cellStyle name="Normal 2 12 10" xfId="236"/>
    <cellStyle name="Normal 2 12 11" xfId="237"/>
    <cellStyle name="Normal 2 12 12" xfId="238"/>
    <cellStyle name="Normal 2 12 13" xfId="239"/>
    <cellStyle name="Normal 2 12 14" xfId="240"/>
    <cellStyle name="Normal 2 12 15" xfId="241"/>
    <cellStyle name="Normal 2 12 16" xfId="242"/>
    <cellStyle name="Normal 2 12 17" xfId="243"/>
    <cellStyle name="Normal 2 12 18" xfId="244"/>
    <cellStyle name="Normal 2 12 19" xfId="245"/>
    <cellStyle name="Normal 2 12 2" xfId="246"/>
    <cellStyle name="Normal 2 12 20" xfId="247"/>
    <cellStyle name="Normal 2 12 21" xfId="248"/>
    <cellStyle name="Normal 2 12 22" xfId="249"/>
    <cellStyle name="Normal 2 12 23" xfId="250"/>
    <cellStyle name="Normal 2 12 3" xfId="251"/>
    <cellStyle name="Normal 2 12 4" xfId="252"/>
    <cellStyle name="Normal 2 12 5" xfId="253"/>
    <cellStyle name="Normal 2 12 6" xfId="254"/>
    <cellStyle name="Normal 2 12 7" xfId="255"/>
    <cellStyle name="Normal 2 12 8" xfId="256"/>
    <cellStyle name="Normal 2 12 9" xfId="257"/>
    <cellStyle name="Normal 2 13" xfId="258"/>
    <cellStyle name="Normal 2 13 10" xfId="259"/>
    <cellStyle name="Normal 2 13 11" xfId="260"/>
    <cellStyle name="Normal 2 13 12" xfId="261"/>
    <cellStyle name="Normal 2 13 13" xfId="262"/>
    <cellStyle name="Normal 2 13 14" xfId="263"/>
    <cellStyle name="Normal 2 13 15" xfId="264"/>
    <cellStyle name="Normal 2 13 16" xfId="265"/>
    <cellStyle name="Normal 2 13 17" xfId="266"/>
    <cellStyle name="Normal 2 13 18" xfId="267"/>
    <cellStyle name="Normal 2 13 19" xfId="268"/>
    <cellStyle name="Normal 2 13 2" xfId="269"/>
    <cellStyle name="Normal 2 13 20" xfId="270"/>
    <cellStyle name="Normal 2 13 21" xfId="271"/>
    <cellStyle name="Normal 2 13 22" xfId="272"/>
    <cellStyle name="Normal 2 13 23" xfId="273"/>
    <cellStyle name="Normal 2 13 3" xfId="274"/>
    <cellStyle name="Normal 2 13 4" xfId="275"/>
    <cellStyle name="Normal 2 13 5" xfId="276"/>
    <cellStyle name="Normal 2 13 6" xfId="277"/>
    <cellStyle name="Normal 2 13 7" xfId="278"/>
    <cellStyle name="Normal 2 13 8" xfId="279"/>
    <cellStyle name="Normal 2 13 9" xfId="280"/>
    <cellStyle name="Normal 2 14" xfId="281"/>
    <cellStyle name="Normal 2 14 10" xfId="282"/>
    <cellStyle name="Normal 2 14 11" xfId="283"/>
    <cellStyle name="Normal 2 14 12" xfId="284"/>
    <cellStyle name="Normal 2 14 13" xfId="285"/>
    <cellStyle name="Normal 2 14 14" xfId="286"/>
    <cellStyle name="Normal 2 14 15" xfId="287"/>
    <cellStyle name="Normal 2 14 16" xfId="288"/>
    <cellStyle name="Normal 2 14 17" xfId="289"/>
    <cellStyle name="Normal 2 14 18" xfId="290"/>
    <cellStyle name="Normal 2 14 19" xfId="291"/>
    <cellStyle name="Normal 2 14 2" xfId="292"/>
    <cellStyle name="Normal 2 14 20" xfId="293"/>
    <cellStyle name="Normal 2 14 21" xfId="294"/>
    <cellStyle name="Normal 2 14 22" xfId="295"/>
    <cellStyle name="Normal 2 14 23" xfId="296"/>
    <cellStyle name="Normal 2 14 3" xfId="297"/>
    <cellStyle name="Normal 2 14 4" xfId="298"/>
    <cellStyle name="Normal 2 14 5" xfId="299"/>
    <cellStyle name="Normal 2 14 6" xfId="300"/>
    <cellStyle name="Normal 2 14 7" xfId="301"/>
    <cellStyle name="Normal 2 14 8" xfId="302"/>
    <cellStyle name="Normal 2 14 9" xfId="303"/>
    <cellStyle name="Normal 2 15" xfId="304"/>
    <cellStyle name="Normal 2 15 10" xfId="305"/>
    <cellStyle name="Normal 2 15 11" xfId="306"/>
    <cellStyle name="Normal 2 15 12" xfId="307"/>
    <cellStyle name="Normal 2 15 13" xfId="308"/>
    <cellStyle name="Normal 2 15 14" xfId="309"/>
    <cellStyle name="Normal 2 15 15" xfId="310"/>
    <cellStyle name="Normal 2 15 16" xfId="311"/>
    <cellStyle name="Normal 2 15 17" xfId="312"/>
    <cellStyle name="Normal 2 15 18" xfId="313"/>
    <cellStyle name="Normal 2 15 19" xfId="314"/>
    <cellStyle name="Normal 2 15 2" xfId="315"/>
    <cellStyle name="Normal 2 15 20" xfId="316"/>
    <cellStyle name="Normal 2 15 21" xfId="317"/>
    <cellStyle name="Normal 2 15 22" xfId="318"/>
    <cellStyle name="Normal 2 15 23" xfId="319"/>
    <cellStyle name="Normal 2 15 3" xfId="320"/>
    <cellStyle name="Normal 2 15 4" xfId="321"/>
    <cellStyle name="Normal 2 15 5" xfId="322"/>
    <cellStyle name="Normal 2 15 6" xfId="323"/>
    <cellStyle name="Normal 2 15 7" xfId="324"/>
    <cellStyle name="Normal 2 15 8" xfId="325"/>
    <cellStyle name="Normal 2 15 9" xfId="326"/>
    <cellStyle name="Normal 2 16" xfId="327"/>
    <cellStyle name="Normal 2 16 10" xfId="328"/>
    <cellStyle name="Normal 2 16 11" xfId="329"/>
    <cellStyle name="Normal 2 16 12" xfId="330"/>
    <cellStyle name="Normal 2 16 13" xfId="331"/>
    <cellStyle name="Normal 2 16 14" xfId="332"/>
    <cellStyle name="Normal 2 16 15" xfId="333"/>
    <cellStyle name="Normal 2 16 16" xfId="334"/>
    <cellStyle name="Normal 2 16 17" xfId="335"/>
    <cellStyle name="Normal 2 16 18" xfId="336"/>
    <cellStyle name="Normal 2 16 19" xfId="337"/>
    <cellStyle name="Normal 2 16 2" xfId="338"/>
    <cellStyle name="Normal 2 16 20" xfId="339"/>
    <cellStyle name="Normal 2 16 21" xfId="340"/>
    <cellStyle name="Normal 2 16 22" xfId="341"/>
    <cellStyle name="Normal 2 16 23" xfId="342"/>
    <cellStyle name="Normal 2 16 3" xfId="343"/>
    <cellStyle name="Normal 2 16 4" xfId="344"/>
    <cellStyle name="Normal 2 16 5" xfId="345"/>
    <cellStyle name="Normal 2 16 6" xfId="346"/>
    <cellStyle name="Normal 2 16 7" xfId="347"/>
    <cellStyle name="Normal 2 16 8" xfId="348"/>
    <cellStyle name="Normal 2 16 9" xfId="349"/>
    <cellStyle name="Normal 2 17" xfId="350"/>
    <cellStyle name="Normal 2 17 10" xfId="351"/>
    <cellStyle name="Normal 2 17 11" xfId="352"/>
    <cellStyle name="Normal 2 17 12" xfId="353"/>
    <cellStyle name="Normal 2 17 13" xfId="354"/>
    <cellStyle name="Normal 2 17 14" xfId="355"/>
    <cellStyle name="Normal 2 17 15" xfId="356"/>
    <cellStyle name="Normal 2 17 16" xfId="357"/>
    <cellStyle name="Normal 2 17 17" xfId="358"/>
    <cellStyle name="Normal 2 17 18" xfId="359"/>
    <cellStyle name="Normal 2 17 19" xfId="360"/>
    <cellStyle name="Normal 2 17 2" xfId="361"/>
    <cellStyle name="Normal 2 17 20" xfId="362"/>
    <cellStyle name="Normal 2 17 21" xfId="363"/>
    <cellStyle name="Normal 2 17 22" xfId="364"/>
    <cellStyle name="Normal 2 17 23" xfId="365"/>
    <cellStyle name="Normal 2 17 3" xfId="366"/>
    <cellStyle name="Normal 2 17 4" xfId="367"/>
    <cellStyle name="Normal 2 17 5" xfId="368"/>
    <cellStyle name="Normal 2 17 6" xfId="369"/>
    <cellStyle name="Normal 2 17 7" xfId="370"/>
    <cellStyle name="Normal 2 17 8" xfId="371"/>
    <cellStyle name="Normal 2 17 9" xfId="372"/>
    <cellStyle name="Normal 2 18" xfId="373"/>
    <cellStyle name="Normal 2 18 10" xfId="374"/>
    <cellStyle name="Normal 2 18 11" xfId="375"/>
    <cellStyle name="Normal 2 18 12" xfId="376"/>
    <cellStyle name="Normal 2 18 13" xfId="377"/>
    <cellStyle name="Normal 2 18 14" xfId="378"/>
    <cellStyle name="Normal 2 18 15" xfId="379"/>
    <cellStyle name="Normal 2 18 16" xfId="380"/>
    <cellStyle name="Normal 2 18 17" xfId="381"/>
    <cellStyle name="Normal 2 18 18" xfId="382"/>
    <cellStyle name="Normal 2 18 19" xfId="383"/>
    <cellStyle name="Normal 2 18 2" xfId="384"/>
    <cellStyle name="Normal 2 18 20" xfId="385"/>
    <cellStyle name="Normal 2 18 21" xfId="386"/>
    <cellStyle name="Normal 2 18 22" xfId="387"/>
    <cellStyle name="Normal 2 18 23" xfId="388"/>
    <cellStyle name="Normal 2 18 3" xfId="389"/>
    <cellStyle name="Normal 2 18 4" xfId="390"/>
    <cellStyle name="Normal 2 18 5" xfId="391"/>
    <cellStyle name="Normal 2 18 6" xfId="392"/>
    <cellStyle name="Normal 2 18 7" xfId="393"/>
    <cellStyle name="Normal 2 18 8" xfId="394"/>
    <cellStyle name="Normal 2 18 9" xfId="395"/>
    <cellStyle name="Normal 2 19" xfId="396"/>
    <cellStyle name="Normal 2 19 10" xfId="397"/>
    <cellStyle name="Normal 2 19 11" xfId="398"/>
    <cellStyle name="Normal 2 19 12" xfId="399"/>
    <cellStyle name="Normal 2 19 13" xfId="400"/>
    <cellStyle name="Normal 2 19 14" xfId="401"/>
    <cellStyle name="Normal 2 19 15" xfId="402"/>
    <cellStyle name="Normal 2 19 16" xfId="403"/>
    <cellStyle name="Normal 2 19 17" xfId="404"/>
    <cellStyle name="Normal 2 19 18" xfId="405"/>
    <cellStyle name="Normal 2 19 19" xfId="406"/>
    <cellStyle name="Normal 2 19 2" xfId="407"/>
    <cellStyle name="Normal 2 19 20" xfId="408"/>
    <cellStyle name="Normal 2 19 21" xfId="409"/>
    <cellStyle name="Normal 2 19 22" xfId="410"/>
    <cellStyle name="Normal 2 19 23" xfId="411"/>
    <cellStyle name="Normal 2 19 3" xfId="412"/>
    <cellStyle name="Normal 2 19 4" xfId="413"/>
    <cellStyle name="Normal 2 19 5" xfId="414"/>
    <cellStyle name="Normal 2 19 6" xfId="415"/>
    <cellStyle name="Normal 2 19 7" xfId="416"/>
    <cellStyle name="Normal 2 19 8" xfId="417"/>
    <cellStyle name="Normal 2 19 9" xfId="418"/>
    <cellStyle name="Normal 2 2" xfId="18"/>
    <cellStyle name="Normal 2 2 2" xfId="35"/>
    <cellStyle name="Normal 2 2 2 2" xfId="103"/>
    <cellStyle name="Normal 2 2 3" xfId="104"/>
    <cellStyle name="Normal 2 2 4" xfId="419"/>
    <cellStyle name="Normal 2 2 5" xfId="184"/>
    <cellStyle name="Normal 2 20" xfId="420"/>
    <cellStyle name="Normal 2 20 10" xfId="421"/>
    <cellStyle name="Normal 2 20 11" xfId="422"/>
    <cellStyle name="Normal 2 20 12" xfId="423"/>
    <cellStyle name="Normal 2 20 13" xfId="424"/>
    <cellStyle name="Normal 2 20 14" xfId="425"/>
    <cellStyle name="Normal 2 20 15" xfId="426"/>
    <cellStyle name="Normal 2 20 16" xfId="427"/>
    <cellStyle name="Normal 2 20 17" xfId="428"/>
    <cellStyle name="Normal 2 20 18" xfId="429"/>
    <cellStyle name="Normal 2 20 19" xfId="430"/>
    <cellStyle name="Normal 2 20 2" xfId="431"/>
    <cellStyle name="Normal 2 20 20" xfId="432"/>
    <cellStyle name="Normal 2 20 21" xfId="433"/>
    <cellStyle name="Normal 2 20 22" xfId="434"/>
    <cellStyle name="Normal 2 20 23" xfId="435"/>
    <cellStyle name="Normal 2 20 3" xfId="436"/>
    <cellStyle name="Normal 2 20 4" xfId="437"/>
    <cellStyle name="Normal 2 20 5" xfId="438"/>
    <cellStyle name="Normal 2 20 6" xfId="439"/>
    <cellStyle name="Normal 2 20 7" xfId="440"/>
    <cellStyle name="Normal 2 20 8" xfId="441"/>
    <cellStyle name="Normal 2 20 9" xfId="442"/>
    <cellStyle name="Normal 2 21" xfId="443"/>
    <cellStyle name="Normal 2 21 10" xfId="444"/>
    <cellStyle name="Normal 2 21 11" xfId="445"/>
    <cellStyle name="Normal 2 21 12" xfId="446"/>
    <cellStyle name="Normal 2 21 13" xfId="447"/>
    <cellStyle name="Normal 2 21 14" xfId="448"/>
    <cellStyle name="Normal 2 21 15" xfId="449"/>
    <cellStyle name="Normal 2 21 16" xfId="450"/>
    <cellStyle name="Normal 2 21 17" xfId="451"/>
    <cellStyle name="Normal 2 21 18" xfId="452"/>
    <cellStyle name="Normal 2 21 19" xfId="453"/>
    <cellStyle name="Normal 2 21 2" xfId="454"/>
    <cellStyle name="Normal 2 21 20" xfId="455"/>
    <cellStyle name="Normal 2 21 21" xfId="456"/>
    <cellStyle name="Normal 2 21 22" xfId="457"/>
    <cellStyle name="Normal 2 21 23" xfId="458"/>
    <cellStyle name="Normal 2 21 3" xfId="459"/>
    <cellStyle name="Normal 2 21 4" xfId="460"/>
    <cellStyle name="Normal 2 21 5" xfId="461"/>
    <cellStyle name="Normal 2 21 6" xfId="462"/>
    <cellStyle name="Normal 2 21 7" xfId="463"/>
    <cellStyle name="Normal 2 21 8" xfId="464"/>
    <cellStyle name="Normal 2 21 9" xfId="465"/>
    <cellStyle name="Normal 2 22" xfId="466"/>
    <cellStyle name="Normal 2 22 10" xfId="467"/>
    <cellStyle name="Normal 2 22 11" xfId="468"/>
    <cellStyle name="Normal 2 22 12" xfId="469"/>
    <cellStyle name="Normal 2 22 13" xfId="470"/>
    <cellStyle name="Normal 2 22 14" xfId="471"/>
    <cellStyle name="Normal 2 22 15" xfId="472"/>
    <cellStyle name="Normal 2 22 16" xfId="473"/>
    <cellStyle name="Normal 2 22 17" xfId="474"/>
    <cellStyle name="Normal 2 22 18" xfId="475"/>
    <cellStyle name="Normal 2 22 19" xfId="476"/>
    <cellStyle name="Normal 2 22 2" xfId="477"/>
    <cellStyle name="Normal 2 22 20" xfId="478"/>
    <cellStyle name="Normal 2 22 21" xfId="479"/>
    <cellStyle name="Normal 2 22 22" xfId="480"/>
    <cellStyle name="Normal 2 22 23" xfId="481"/>
    <cellStyle name="Normal 2 22 3" xfId="482"/>
    <cellStyle name="Normal 2 22 4" xfId="483"/>
    <cellStyle name="Normal 2 22 5" xfId="484"/>
    <cellStyle name="Normal 2 22 6" xfId="485"/>
    <cellStyle name="Normal 2 22 7" xfId="486"/>
    <cellStyle name="Normal 2 22 8" xfId="487"/>
    <cellStyle name="Normal 2 22 9" xfId="488"/>
    <cellStyle name="Normal 2 23" xfId="489"/>
    <cellStyle name="Normal 2 23 10" xfId="490"/>
    <cellStyle name="Normal 2 23 11" xfId="491"/>
    <cellStyle name="Normal 2 23 12" xfId="492"/>
    <cellStyle name="Normal 2 23 13" xfId="493"/>
    <cellStyle name="Normal 2 23 14" xfId="494"/>
    <cellStyle name="Normal 2 23 15" xfId="495"/>
    <cellStyle name="Normal 2 23 16" xfId="496"/>
    <cellStyle name="Normal 2 23 17" xfId="497"/>
    <cellStyle name="Normal 2 23 18" xfId="498"/>
    <cellStyle name="Normal 2 23 19" xfId="499"/>
    <cellStyle name="Normal 2 23 2" xfId="500"/>
    <cellStyle name="Normal 2 23 20" xfId="501"/>
    <cellStyle name="Normal 2 23 21" xfId="502"/>
    <cellStyle name="Normal 2 23 22" xfId="503"/>
    <cellStyle name="Normal 2 23 23" xfId="504"/>
    <cellStyle name="Normal 2 23 3" xfId="505"/>
    <cellStyle name="Normal 2 23 4" xfId="506"/>
    <cellStyle name="Normal 2 23 5" xfId="507"/>
    <cellStyle name="Normal 2 23 6" xfId="508"/>
    <cellStyle name="Normal 2 23 7" xfId="509"/>
    <cellStyle name="Normal 2 23 8" xfId="510"/>
    <cellStyle name="Normal 2 23 9" xfId="511"/>
    <cellStyle name="Normal 2 24" xfId="512"/>
    <cellStyle name="Normal 2 24 10" xfId="513"/>
    <cellStyle name="Normal 2 24 11" xfId="514"/>
    <cellStyle name="Normal 2 24 12" xfId="515"/>
    <cellStyle name="Normal 2 24 13" xfId="516"/>
    <cellStyle name="Normal 2 24 14" xfId="517"/>
    <cellStyle name="Normal 2 24 15" xfId="518"/>
    <cellStyle name="Normal 2 24 16" xfId="519"/>
    <cellStyle name="Normal 2 24 17" xfId="520"/>
    <cellStyle name="Normal 2 24 18" xfId="521"/>
    <cellStyle name="Normal 2 24 19" xfId="522"/>
    <cellStyle name="Normal 2 24 2" xfId="523"/>
    <cellStyle name="Normal 2 24 20" xfId="524"/>
    <cellStyle name="Normal 2 24 21" xfId="525"/>
    <cellStyle name="Normal 2 24 22" xfId="526"/>
    <cellStyle name="Normal 2 24 23" xfId="527"/>
    <cellStyle name="Normal 2 24 3" xfId="528"/>
    <cellStyle name="Normal 2 24 4" xfId="529"/>
    <cellStyle name="Normal 2 24 5" xfId="530"/>
    <cellStyle name="Normal 2 24 6" xfId="531"/>
    <cellStyle name="Normal 2 24 7" xfId="532"/>
    <cellStyle name="Normal 2 24 8" xfId="533"/>
    <cellStyle name="Normal 2 24 9" xfId="534"/>
    <cellStyle name="Normal 2 25" xfId="535"/>
    <cellStyle name="Normal 2 25 10" xfId="536"/>
    <cellStyle name="Normal 2 25 11" xfId="537"/>
    <cellStyle name="Normal 2 25 12" xfId="538"/>
    <cellStyle name="Normal 2 25 13" xfId="539"/>
    <cellStyle name="Normal 2 25 14" xfId="540"/>
    <cellStyle name="Normal 2 25 15" xfId="541"/>
    <cellStyle name="Normal 2 25 16" xfId="542"/>
    <cellStyle name="Normal 2 25 17" xfId="543"/>
    <cellStyle name="Normal 2 25 18" xfId="544"/>
    <cellStyle name="Normal 2 25 19" xfId="545"/>
    <cellStyle name="Normal 2 25 2" xfId="546"/>
    <cellStyle name="Normal 2 25 20" xfId="547"/>
    <cellStyle name="Normal 2 25 21" xfId="548"/>
    <cellStyle name="Normal 2 25 22" xfId="549"/>
    <cellStyle name="Normal 2 25 23" xfId="550"/>
    <cellStyle name="Normal 2 25 3" xfId="551"/>
    <cellStyle name="Normal 2 25 4" xfId="552"/>
    <cellStyle name="Normal 2 25 5" xfId="553"/>
    <cellStyle name="Normal 2 25 6" xfId="554"/>
    <cellStyle name="Normal 2 25 7" xfId="555"/>
    <cellStyle name="Normal 2 25 8" xfId="556"/>
    <cellStyle name="Normal 2 25 9" xfId="557"/>
    <cellStyle name="Normal 2 26" xfId="558"/>
    <cellStyle name="Normal 2 26 10" xfId="559"/>
    <cellStyle name="Normal 2 26 11" xfId="560"/>
    <cellStyle name="Normal 2 26 12" xfId="561"/>
    <cellStyle name="Normal 2 26 13" xfId="562"/>
    <cellStyle name="Normal 2 26 14" xfId="563"/>
    <cellStyle name="Normal 2 26 15" xfId="564"/>
    <cellStyle name="Normal 2 26 16" xfId="565"/>
    <cellStyle name="Normal 2 26 17" xfId="566"/>
    <cellStyle name="Normal 2 26 18" xfId="567"/>
    <cellStyle name="Normal 2 26 19" xfId="568"/>
    <cellStyle name="Normal 2 26 2" xfId="569"/>
    <cellStyle name="Normal 2 26 20" xfId="570"/>
    <cellStyle name="Normal 2 26 21" xfId="571"/>
    <cellStyle name="Normal 2 26 22" xfId="572"/>
    <cellStyle name="Normal 2 26 23" xfId="573"/>
    <cellStyle name="Normal 2 26 3" xfId="574"/>
    <cellStyle name="Normal 2 26 4" xfId="575"/>
    <cellStyle name="Normal 2 26 5" xfId="576"/>
    <cellStyle name="Normal 2 26 6" xfId="577"/>
    <cellStyle name="Normal 2 26 7" xfId="578"/>
    <cellStyle name="Normal 2 26 8" xfId="579"/>
    <cellStyle name="Normal 2 26 9" xfId="580"/>
    <cellStyle name="Normal 2 27" xfId="581"/>
    <cellStyle name="Normal 2 27 10" xfId="582"/>
    <cellStyle name="Normal 2 27 11" xfId="583"/>
    <cellStyle name="Normal 2 27 12" xfId="584"/>
    <cellStyle name="Normal 2 27 13" xfId="585"/>
    <cellStyle name="Normal 2 27 14" xfId="586"/>
    <cellStyle name="Normal 2 27 15" xfId="587"/>
    <cellStyle name="Normal 2 27 16" xfId="588"/>
    <cellStyle name="Normal 2 27 17" xfId="589"/>
    <cellStyle name="Normal 2 27 18" xfId="590"/>
    <cellStyle name="Normal 2 27 19" xfId="591"/>
    <cellStyle name="Normal 2 27 2" xfId="592"/>
    <cellStyle name="Normal 2 27 20" xfId="593"/>
    <cellStyle name="Normal 2 27 21" xfId="594"/>
    <cellStyle name="Normal 2 27 22" xfId="595"/>
    <cellStyle name="Normal 2 27 23" xfId="596"/>
    <cellStyle name="Normal 2 27 3" xfId="597"/>
    <cellStyle name="Normal 2 27 4" xfId="598"/>
    <cellStyle name="Normal 2 27 5" xfId="599"/>
    <cellStyle name="Normal 2 27 6" xfId="600"/>
    <cellStyle name="Normal 2 27 7" xfId="601"/>
    <cellStyle name="Normal 2 27 8" xfId="602"/>
    <cellStyle name="Normal 2 27 9" xfId="603"/>
    <cellStyle name="Normal 2 28" xfId="604"/>
    <cellStyle name="Normal 2 28 10" xfId="605"/>
    <cellStyle name="Normal 2 28 11" xfId="606"/>
    <cellStyle name="Normal 2 28 12" xfId="607"/>
    <cellStyle name="Normal 2 28 13" xfId="608"/>
    <cellStyle name="Normal 2 28 14" xfId="609"/>
    <cellStyle name="Normal 2 28 15" xfId="610"/>
    <cellStyle name="Normal 2 28 16" xfId="611"/>
    <cellStyle name="Normal 2 28 17" xfId="612"/>
    <cellStyle name="Normal 2 28 18" xfId="613"/>
    <cellStyle name="Normal 2 28 19" xfId="614"/>
    <cellStyle name="Normal 2 28 2" xfId="615"/>
    <cellStyle name="Normal 2 28 20" xfId="616"/>
    <cellStyle name="Normal 2 28 21" xfId="617"/>
    <cellStyle name="Normal 2 28 22" xfId="618"/>
    <cellStyle name="Normal 2 28 23" xfId="619"/>
    <cellStyle name="Normal 2 28 3" xfId="620"/>
    <cellStyle name="Normal 2 28 4" xfId="621"/>
    <cellStyle name="Normal 2 28 5" xfId="622"/>
    <cellStyle name="Normal 2 28 6" xfId="623"/>
    <cellStyle name="Normal 2 28 7" xfId="624"/>
    <cellStyle name="Normal 2 28 8" xfId="625"/>
    <cellStyle name="Normal 2 28 9" xfId="626"/>
    <cellStyle name="Normal 2 29" xfId="627"/>
    <cellStyle name="Normal 2 29 10" xfId="628"/>
    <cellStyle name="Normal 2 29 11" xfId="629"/>
    <cellStyle name="Normal 2 29 12" xfId="630"/>
    <cellStyle name="Normal 2 29 13" xfId="631"/>
    <cellStyle name="Normal 2 29 14" xfId="632"/>
    <cellStyle name="Normal 2 29 15" xfId="633"/>
    <cellStyle name="Normal 2 29 16" xfId="634"/>
    <cellStyle name="Normal 2 29 17" xfId="635"/>
    <cellStyle name="Normal 2 29 18" xfId="636"/>
    <cellStyle name="Normal 2 29 19" xfId="637"/>
    <cellStyle name="Normal 2 29 2" xfId="638"/>
    <cellStyle name="Normal 2 29 20" xfId="639"/>
    <cellStyle name="Normal 2 29 21" xfId="640"/>
    <cellStyle name="Normal 2 29 22" xfId="641"/>
    <cellStyle name="Normal 2 29 23" xfId="642"/>
    <cellStyle name="Normal 2 29 3" xfId="643"/>
    <cellStyle name="Normal 2 29 4" xfId="644"/>
    <cellStyle name="Normal 2 29 5" xfId="645"/>
    <cellStyle name="Normal 2 29 6" xfId="646"/>
    <cellStyle name="Normal 2 29 7" xfId="647"/>
    <cellStyle name="Normal 2 29 8" xfId="648"/>
    <cellStyle name="Normal 2 29 9" xfId="649"/>
    <cellStyle name="Normal 2 3" xfId="36"/>
    <cellStyle name="Normal 2 3 2" xfId="37"/>
    <cellStyle name="Normal 2 3 3" xfId="650"/>
    <cellStyle name="Normal 2 30" xfId="651"/>
    <cellStyle name="Normal 2 30 10" xfId="652"/>
    <cellStyle name="Normal 2 30 11" xfId="653"/>
    <cellStyle name="Normal 2 30 12" xfId="654"/>
    <cellStyle name="Normal 2 30 13" xfId="655"/>
    <cellStyle name="Normal 2 30 14" xfId="656"/>
    <cellStyle name="Normal 2 30 15" xfId="657"/>
    <cellStyle name="Normal 2 30 16" xfId="658"/>
    <cellStyle name="Normal 2 30 17" xfId="659"/>
    <cellStyle name="Normal 2 30 18" xfId="660"/>
    <cellStyle name="Normal 2 30 19" xfId="661"/>
    <cellStyle name="Normal 2 30 2" xfId="662"/>
    <cellStyle name="Normal 2 30 20" xfId="663"/>
    <cellStyle name="Normal 2 30 21" xfId="664"/>
    <cellStyle name="Normal 2 30 22" xfId="665"/>
    <cellStyle name="Normal 2 30 23" xfId="666"/>
    <cellStyle name="Normal 2 30 3" xfId="667"/>
    <cellStyle name="Normal 2 30 4" xfId="668"/>
    <cellStyle name="Normal 2 30 5" xfId="669"/>
    <cellStyle name="Normal 2 30 6" xfId="670"/>
    <cellStyle name="Normal 2 30 7" xfId="671"/>
    <cellStyle name="Normal 2 30 8" xfId="672"/>
    <cellStyle name="Normal 2 30 9" xfId="673"/>
    <cellStyle name="Normal 2 31" xfId="674"/>
    <cellStyle name="Normal 2 31 10" xfId="675"/>
    <cellStyle name="Normal 2 31 11" xfId="676"/>
    <cellStyle name="Normal 2 31 12" xfId="677"/>
    <cellStyle name="Normal 2 31 13" xfId="678"/>
    <cellStyle name="Normal 2 31 14" xfId="679"/>
    <cellStyle name="Normal 2 31 15" xfId="680"/>
    <cellStyle name="Normal 2 31 16" xfId="681"/>
    <cellStyle name="Normal 2 31 17" xfId="682"/>
    <cellStyle name="Normal 2 31 18" xfId="683"/>
    <cellStyle name="Normal 2 31 19" xfId="684"/>
    <cellStyle name="Normal 2 31 2" xfId="685"/>
    <cellStyle name="Normal 2 31 20" xfId="686"/>
    <cellStyle name="Normal 2 31 21" xfId="687"/>
    <cellStyle name="Normal 2 31 22" xfId="688"/>
    <cellStyle name="Normal 2 31 23" xfId="689"/>
    <cellStyle name="Normal 2 31 3" xfId="690"/>
    <cellStyle name="Normal 2 31 4" xfId="691"/>
    <cellStyle name="Normal 2 31 5" xfId="692"/>
    <cellStyle name="Normal 2 31 6" xfId="693"/>
    <cellStyle name="Normal 2 31 7" xfId="694"/>
    <cellStyle name="Normal 2 31 8" xfId="695"/>
    <cellStyle name="Normal 2 31 9" xfId="696"/>
    <cellStyle name="Normal 2 32" xfId="697"/>
    <cellStyle name="Normal 2 32 10" xfId="698"/>
    <cellStyle name="Normal 2 32 11" xfId="699"/>
    <cellStyle name="Normal 2 32 12" xfId="700"/>
    <cellStyle name="Normal 2 32 13" xfId="701"/>
    <cellStyle name="Normal 2 32 14" xfId="702"/>
    <cellStyle name="Normal 2 32 15" xfId="703"/>
    <cellStyle name="Normal 2 32 16" xfId="704"/>
    <cellStyle name="Normal 2 32 17" xfId="705"/>
    <cellStyle name="Normal 2 32 18" xfId="706"/>
    <cellStyle name="Normal 2 32 19" xfId="707"/>
    <cellStyle name="Normal 2 32 2" xfId="708"/>
    <cellStyle name="Normal 2 32 20" xfId="709"/>
    <cellStyle name="Normal 2 32 21" xfId="710"/>
    <cellStyle name="Normal 2 32 22" xfId="711"/>
    <cellStyle name="Normal 2 32 23" xfId="712"/>
    <cellStyle name="Normal 2 32 3" xfId="713"/>
    <cellStyle name="Normal 2 32 4" xfId="714"/>
    <cellStyle name="Normal 2 32 5" xfId="715"/>
    <cellStyle name="Normal 2 32 6" xfId="716"/>
    <cellStyle name="Normal 2 32 7" xfId="717"/>
    <cellStyle name="Normal 2 32 8" xfId="718"/>
    <cellStyle name="Normal 2 32 9" xfId="719"/>
    <cellStyle name="Normal 2 33" xfId="720"/>
    <cellStyle name="Normal 2 33 10" xfId="721"/>
    <cellStyle name="Normal 2 33 11" xfId="722"/>
    <cellStyle name="Normal 2 33 12" xfId="723"/>
    <cellStyle name="Normal 2 33 13" xfId="724"/>
    <cellStyle name="Normal 2 33 14" xfId="725"/>
    <cellStyle name="Normal 2 33 15" xfId="726"/>
    <cellStyle name="Normal 2 33 16" xfId="727"/>
    <cellStyle name="Normal 2 33 17" xfId="728"/>
    <cellStyle name="Normal 2 33 18" xfId="729"/>
    <cellStyle name="Normal 2 33 19" xfId="730"/>
    <cellStyle name="Normal 2 33 2" xfId="731"/>
    <cellStyle name="Normal 2 33 20" xfId="732"/>
    <cellStyle name="Normal 2 33 21" xfId="733"/>
    <cellStyle name="Normal 2 33 22" xfId="734"/>
    <cellStyle name="Normal 2 33 23" xfId="735"/>
    <cellStyle name="Normal 2 33 3" xfId="736"/>
    <cellStyle name="Normal 2 33 4" xfId="737"/>
    <cellStyle name="Normal 2 33 5" xfId="738"/>
    <cellStyle name="Normal 2 33 6" xfId="739"/>
    <cellStyle name="Normal 2 33 7" xfId="740"/>
    <cellStyle name="Normal 2 33 8" xfId="741"/>
    <cellStyle name="Normal 2 33 9" xfId="742"/>
    <cellStyle name="Normal 2 34" xfId="743"/>
    <cellStyle name="Normal 2 34 10" xfId="744"/>
    <cellStyle name="Normal 2 34 11" xfId="745"/>
    <cellStyle name="Normal 2 34 12" xfId="746"/>
    <cellStyle name="Normal 2 34 13" xfId="747"/>
    <cellStyle name="Normal 2 34 14" xfId="748"/>
    <cellStyle name="Normal 2 34 15" xfId="749"/>
    <cellStyle name="Normal 2 34 16" xfId="750"/>
    <cellStyle name="Normal 2 34 17" xfId="751"/>
    <cellStyle name="Normal 2 34 18" xfId="752"/>
    <cellStyle name="Normal 2 34 19" xfId="753"/>
    <cellStyle name="Normal 2 34 2" xfId="754"/>
    <cellStyle name="Normal 2 34 20" xfId="755"/>
    <cellStyle name="Normal 2 34 21" xfId="756"/>
    <cellStyle name="Normal 2 34 22" xfId="757"/>
    <cellStyle name="Normal 2 34 23" xfId="758"/>
    <cellStyle name="Normal 2 34 3" xfId="759"/>
    <cellStyle name="Normal 2 34 4" xfId="760"/>
    <cellStyle name="Normal 2 34 5" xfId="761"/>
    <cellStyle name="Normal 2 34 6" xfId="762"/>
    <cellStyle name="Normal 2 34 7" xfId="763"/>
    <cellStyle name="Normal 2 34 8" xfId="764"/>
    <cellStyle name="Normal 2 34 9" xfId="765"/>
    <cellStyle name="Normal 2 35" xfId="766"/>
    <cellStyle name="Normal 2 35 10" xfId="767"/>
    <cellStyle name="Normal 2 35 11" xfId="768"/>
    <cellStyle name="Normal 2 35 12" xfId="769"/>
    <cellStyle name="Normal 2 35 13" xfId="770"/>
    <cellStyle name="Normal 2 35 14" xfId="771"/>
    <cellStyle name="Normal 2 35 15" xfId="772"/>
    <cellStyle name="Normal 2 35 16" xfId="773"/>
    <cellStyle name="Normal 2 35 17" xfId="774"/>
    <cellStyle name="Normal 2 35 18" xfId="775"/>
    <cellStyle name="Normal 2 35 19" xfId="776"/>
    <cellStyle name="Normal 2 35 2" xfId="777"/>
    <cellStyle name="Normal 2 35 20" xfId="778"/>
    <cellStyle name="Normal 2 35 21" xfId="779"/>
    <cellStyle name="Normal 2 35 22" xfId="780"/>
    <cellStyle name="Normal 2 35 23" xfId="781"/>
    <cellStyle name="Normal 2 35 3" xfId="782"/>
    <cellStyle name="Normal 2 35 4" xfId="783"/>
    <cellStyle name="Normal 2 35 5" xfId="784"/>
    <cellStyle name="Normal 2 35 6" xfId="785"/>
    <cellStyle name="Normal 2 35 7" xfId="786"/>
    <cellStyle name="Normal 2 35 8" xfId="787"/>
    <cellStyle name="Normal 2 35 9" xfId="788"/>
    <cellStyle name="Normal 2 36" xfId="789"/>
    <cellStyle name="Normal 2 36 10" xfId="790"/>
    <cellStyle name="Normal 2 36 11" xfId="791"/>
    <cellStyle name="Normal 2 36 12" xfId="792"/>
    <cellStyle name="Normal 2 36 13" xfId="793"/>
    <cellStyle name="Normal 2 36 14" xfId="794"/>
    <cellStyle name="Normal 2 36 15" xfId="795"/>
    <cellStyle name="Normal 2 36 16" xfId="796"/>
    <cellStyle name="Normal 2 36 17" xfId="797"/>
    <cellStyle name="Normal 2 36 18" xfId="798"/>
    <cellStyle name="Normal 2 36 19" xfId="799"/>
    <cellStyle name="Normal 2 36 2" xfId="800"/>
    <cellStyle name="Normal 2 36 20" xfId="801"/>
    <cellStyle name="Normal 2 36 21" xfId="802"/>
    <cellStyle name="Normal 2 36 22" xfId="803"/>
    <cellStyle name="Normal 2 36 23" xfId="804"/>
    <cellStyle name="Normal 2 36 3" xfId="805"/>
    <cellStyle name="Normal 2 36 4" xfId="806"/>
    <cellStyle name="Normal 2 36 5" xfId="807"/>
    <cellStyle name="Normal 2 36 6" xfId="808"/>
    <cellStyle name="Normal 2 36 7" xfId="809"/>
    <cellStyle name="Normal 2 36 8" xfId="810"/>
    <cellStyle name="Normal 2 36 9" xfId="811"/>
    <cellStyle name="Normal 2 37" xfId="812"/>
    <cellStyle name="Normal 2 37 10" xfId="813"/>
    <cellStyle name="Normal 2 37 11" xfId="814"/>
    <cellStyle name="Normal 2 37 12" xfId="815"/>
    <cellStyle name="Normal 2 37 13" xfId="816"/>
    <cellStyle name="Normal 2 37 14" xfId="817"/>
    <cellStyle name="Normal 2 37 15" xfId="818"/>
    <cellStyle name="Normal 2 37 16" xfId="819"/>
    <cellStyle name="Normal 2 37 17" xfId="820"/>
    <cellStyle name="Normal 2 37 18" xfId="821"/>
    <cellStyle name="Normal 2 37 19" xfId="822"/>
    <cellStyle name="Normal 2 37 2" xfId="823"/>
    <cellStyle name="Normal 2 37 20" xfId="824"/>
    <cellStyle name="Normal 2 37 21" xfId="825"/>
    <cellStyle name="Normal 2 37 22" xfId="826"/>
    <cellStyle name="Normal 2 37 23" xfId="827"/>
    <cellStyle name="Normal 2 37 3" xfId="828"/>
    <cellStyle name="Normal 2 37 4" xfId="829"/>
    <cellStyle name="Normal 2 37 5" xfId="830"/>
    <cellStyle name="Normal 2 37 6" xfId="831"/>
    <cellStyle name="Normal 2 37 7" xfId="832"/>
    <cellStyle name="Normal 2 37 8" xfId="833"/>
    <cellStyle name="Normal 2 37 9" xfId="834"/>
    <cellStyle name="Normal 2 38" xfId="835"/>
    <cellStyle name="Normal 2 38 10" xfId="836"/>
    <cellStyle name="Normal 2 38 11" xfId="837"/>
    <cellStyle name="Normal 2 38 12" xfId="838"/>
    <cellStyle name="Normal 2 38 13" xfId="839"/>
    <cellStyle name="Normal 2 38 14" xfId="840"/>
    <cellStyle name="Normal 2 38 15" xfId="841"/>
    <cellStyle name="Normal 2 38 16" xfId="842"/>
    <cellStyle name="Normal 2 38 17" xfId="843"/>
    <cellStyle name="Normal 2 38 18" xfId="844"/>
    <cellStyle name="Normal 2 38 19" xfId="845"/>
    <cellStyle name="Normal 2 38 2" xfId="846"/>
    <cellStyle name="Normal 2 38 20" xfId="847"/>
    <cellStyle name="Normal 2 38 21" xfId="848"/>
    <cellStyle name="Normal 2 38 22" xfId="849"/>
    <cellStyle name="Normal 2 38 23" xfId="850"/>
    <cellStyle name="Normal 2 38 3" xfId="851"/>
    <cellStyle name="Normal 2 38 4" xfId="852"/>
    <cellStyle name="Normal 2 38 5" xfId="853"/>
    <cellStyle name="Normal 2 38 6" xfId="854"/>
    <cellStyle name="Normal 2 38 7" xfId="855"/>
    <cellStyle name="Normal 2 38 8" xfId="856"/>
    <cellStyle name="Normal 2 38 9" xfId="857"/>
    <cellStyle name="Normal 2 39" xfId="858"/>
    <cellStyle name="Normal 2 39 10" xfId="859"/>
    <cellStyle name="Normal 2 39 11" xfId="860"/>
    <cellStyle name="Normal 2 39 12" xfId="861"/>
    <cellStyle name="Normal 2 39 13" xfId="862"/>
    <cellStyle name="Normal 2 39 14" xfId="863"/>
    <cellStyle name="Normal 2 39 15" xfId="864"/>
    <cellStyle name="Normal 2 39 16" xfId="865"/>
    <cellStyle name="Normal 2 39 17" xfId="866"/>
    <cellStyle name="Normal 2 39 18" xfId="867"/>
    <cellStyle name="Normal 2 39 19" xfId="868"/>
    <cellStyle name="Normal 2 39 2" xfId="869"/>
    <cellStyle name="Normal 2 39 20" xfId="870"/>
    <cellStyle name="Normal 2 39 21" xfId="871"/>
    <cellStyle name="Normal 2 39 22" xfId="872"/>
    <cellStyle name="Normal 2 39 23" xfId="873"/>
    <cellStyle name="Normal 2 39 3" xfId="874"/>
    <cellStyle name="Normal 2 39 4" xfId="875"/>
    <cellStyle name="Normal 2 39 5" xfId="876"/>
    <cellStyle name="Normal 2 39 6" xfId="877"/>
    <cellStyle name="Normal 2 39 7" xfId="878"/>
    <cellStyle name="Normal 2 39 8" xfId="879"/>
    <cellStyle name="Normal 2 39 9" xfId="880"/>
    <cellStyle name="Normal 2 4" xfId="38"/>
    <cellStyle name="Normal 2 4 2" xfId="105"/>
    <cellStyle name="Normal 2 4 3" xfId="881"/>
    <cellStyle name="Normal 2 40" xfId="882"/>
    <cellStyle name="Normal 2 41" xfId="883"/>
    <cellStyle name="Normal 2 42" xfId="884"/>
    <cellStyle name="Normal 2 43" xfId="885"/>
    <cellStyle name="Normal 2 44" xfId="886"/>
    <cellStyle name="Normal 2 45" xfId="887"/>
    <cellStyle name="Normal 2 46" xfId="888"/>
    <cellStyle name="Normal 2 47" xfId="889"/>
    <cellStyle name="Normal 2 48" xfId="890"/>
    <cellStyle name="Normal 2 49" xfId="891"/>
    <cellStyle name="Normal 2 5" xfId="39"/>
    <cellStyle name="Normal 2 5 10" xfId="893"/>
    <cellStyle name="Normal 2 5 11" xfId="894"/>
    <cellStyle name="Normal 2 5 12" xfId="895"/>
    <cellStyle name="Normal 2 5 13" xfId="896"/>
    <cellStyle name="Normal 2 5 14" xfId="897"/>
    <cellStyle name="Normal 2 5 15" xfId="898"/>
    <cellStyle name="Normal 2 5 16" xfId="899"/>
    <cellStyle name="Normal 2 5 17" xfId="900"/>
    <cellStyle name="Normal 2 5 18" xfId="901"/>
    <cellStyle name="Normal 2 5 19" xfId="902"/>
    <cellStyle name="Normal 2 5 2" xfId="903"/>
    <cellStyle name="Normal 2 5 2 10" xfId="904"/>
    <cellStyle name="Normal 2 5 2 11" xfId="905"/>
    <cellStyle name="Normal 2 5 2 12" xfId="906"/>
    <cellStyle name="Normal 2 5 2 13" xfId="907"/>
    <cellStyle name="Normal 2 5 2 14" xfId="908"/>
    <cellStyle name="Normal 2 5 2 15" xfId="909"/>
    <cellStyle name="Normal 2 5 2 16" xfId="910"/>
    <cellStyle name="Normal 2 5 2 17" xfId="911"/>
    <cellStyle name="Normal 2 5 2 18" xfId="912"/>
    <cellStyle name="Normal 2 5 2 19" xfId="913"/>
    <cellStyle name="Normal 2 5 2 2" xfId="914"/>
    <cellStyle name="Normal 2 5 2 2 10" xfId="915"/>
    <cellStyle name="Normal 2 5 2 2 11" xfId="916"/>
    <cellStyle name="Normal 2 5 2 2 12" xfId="917"/>
    <cellStyle name="Normal 2 5 2 2 13" xfId="918"/>
    <cellStyle name="Normal 2 5 2 2 14" xfId="919"/>
    <cellStyle name="Normal 2 5 2 2 15" xfId="920"/>
    <cellStyle name="Normal 2 5 2 2 16" xfId="921"/>
    <cellStyle name="Normal 2 5 2 2 17" xfId="922"/>
    <cellStyle name="Normal 2 5 2 2 18" xfId="923"/>
    <cellStyle name="Normal 2 5 2 2 19" xfId="924"/>
    <cellStyle name="Normal 2 5 2 2 2" xfId="925"/>
    <cellStyle name="Normal 2 5 2 2 20" xfId="926"/>
    <cellStyle name="Normal 2 5 2 2 21" xfId="927"/>
    <cellStyle name="Normal 2 5 2 2 22" xfId="928"/>
    <cellStyle name="Normal 2 5 2 2 23" xfId="929"/>
    <cellStyle name="Normal 2 5 2 2 24" xfId="930"/>
    <cellStyle name="Normal 2 5 2 2 25" xfId="931"/>
    <cellStyle name="Normal 2 5 2 2 26" xfId="932"/>
    <cellStyle name="Normal 2 5 2 2 27" xfId="933"/>
    <cellStyle name="Normal 2 5 2 2 28" xfId="934"/>
    <cellStyle name="Normal 2 5 2 2 29" xfId="935"/>
    <cellStyle name="Normal 2 5 2 2 3" xfId="936"/>
    <cellStyle name="Normal 2 5 2 2 30" xfId="937"/>
    <cellStyle name="Normal 2 5 2 2 31" xfId="938"/>
    <cellStyle name="Normal 2 5 2 2 32" xfId="939"/>
    <cellStyle name="Normal 2 5 2 2 33" xfId="940"/>
    <cellStyle name="Normal 2 5 2 2 34" xfId="941"/>
    <cellStyle name="Normal 2 5 2 2 35" xfId="942"/>
    <cellStyle name="Normal 2 5 2 2 36" xfId="943"/>
    <cellStyle name="Normal 2 5 2 2 37" xfId="944"/>
    <cellStyle name="Normal 2 5 2 2 38" xfId="945"/>
    <cellStyle name="Normal 2 5 2 2 39" xfId="946"/>
    <cellStyle name="Normal 2 5 2 2 4" xfId="947"/>
    <cellStyle name="Normal 2 5 2 2 40" xfId="948"/>
    <cellStyle name="Normal 2 5 2 2 41" xfId="949"/>
    <cellStyle name="Normal 2 5 2 2 42" xfId="950"/>
    <cellStyle name="Normal 2 5 2 2 43" xfId="951"/>
    <cellStyle name="Normal 2 5 2 2 44" xfId="952"/>
    <cellStyle name="Normal 2 5 2 2 45" xfId="953"/>
    <cellStyle name="Normal 2 5 2 2 46" xfId="954"/>
    <cellStyle name="Normal 2 5 2 2 47" xfId="955"/>
    <cellStyle name="Normal 2 5 2 2 48" xfId="956"/>
    <cellStyle name="Normal 2 5 2 2 49" xfId="957"/>
    <cellStyle name="Normal 2 5 2 2 5" xfId="958"/>
    <cellStyle name="Normal 2 5 2 2 50" xfId="959"/>
    <cellStyle name="Normal 2 5 2 2 51" xfId="960"/>
    <cellStyle name="Normal 2 5 2 2 52" xfId="961"/>
    <cellStyle name="Normal 2 5 2 2 53" xfId="962"/>
    <cellStyle name="Normal 2 5 2 2 54" xfId="963"/>
    <cellStyle name="Normal 2 5 2 2 55" xfId="964"/>
    <cellStyle name="Normal 2 5 2 2 6" xfId="965"/>
    <cellStyle name="Normal 2 5 2 2 7" xfId="966"/>
    <cellStyle name="Normal 2 5 2 2 8" xfId="967"/>
    <cellStyle name="Normal 2 5 2 2 9" xfId="968"/>
    <cellStyle name="Normal 2 5 2 20" xfId="969"/>
    <cellStyle name="Normal 2 5 2 21" xfId="970"/>
    <cellStyle name="Normal 2 5 2 22" xfId="971"/>
    <cellStyle name="Normal 2 5 2 23" xfId="972"/>
    <cellStyle name="Normal 2 5 2 24" xfId="973"/>
    <cellStyle name="Normal 2 5 2 25" xfId="974"/>
    <cellStyle name="Normal 2 5 2 26" xfId="975"/>
    <cellStyle name="Normal 2 5 2 27" xfId="976"/>
    <cellStyle name="Normal 2 5 2 28" xfId="977"/>
    <cellStyle name="Normal 2 5 2 29" xfId="978"/>
    <cellStyle name="Normal 2 5 2 3" xfId="979"/>
    <cellStyle name="Normal 2 5 2 30" xfId="980"/>
    <cellStyle name="Normal 2 5 2 31" xfId="981"/>
    <cellStyle name="Normal 2 5 2 32" xfId="982"/>
    <cellStyle name="Normal 2 5 2 33" xfId="983"/>
    <cellStyle name="Normal 2 5 2 4" xfId="984"/>
    <cellStyle name="Normal 2 5 2 5" xfId="985"/>
    <cellStyle name="Normal 2 5 2 6" xfId="986"/>
    <cellStyle name="Normal 2 5 2 7" xfId="987"/>
    <cellStyle name="Normal 2 5 2 8" xfId="988"/>
    <cellStyle name="Normal 2 5 2 9" xfId="989"/>
    <cellStyle name="Normal 2 5 20" xfId="990"/>
    <cellStyle name="Normal 2 5 21" xfId="991"/>
    <cellStyle name="Normal 2 5 22" xfId="992"/>
    <cellStyle name="Normal 2 5 23" xfId="993"/>
    <cellStyle name="Normal 2 5 24" xfId="994"/>
    <cellStyle name="Normal 2 5 25" xfId="995"/>
    <cellStyle name="Normal 2 5 26" xfId="996"/>
    <cellStyle name="Normal 2 5 27" xfId="997"/>
    <cellStyle name="Normal 2 5 28" xfId="998"/>
    <cellStyle name="Normal 2 5 29" xfId="999"/>
    <cellStyle name="Normal 2 5 3" xfId="1000"/>
    <cellStyle name="Normal 2 5 30" xfId="1001"/>
    <cellStyle name="Normal 2 5 31" xfId="1002"/>
    <cellStyle name="Normal 2 5 32" xfId="1003"/>
    <cellStyle name="Normal 2 5 33" xfId="1004"/>
    <cellStyle name="Normal 2 5 34" xfId="1005"/>
    <cellStyle name="Normal 2 5 35" xfId="1006"/>
    <cellStyle name="Normal 2 5 36" xfId="1007"/>
    <cellStyle name="Normal 2 5 37" xfId="1008"/>
    <cellStyle name="Normal 2 5 38" xfId="1009"/>
    <cellStyle name="Normal 2 5 39" xfId="1010"/>
    <cellStyle name="Normal 2 5 4" xfId="1011"/>
    <cellStyle name="Normal 2 5 40" xfId="1012"/>
    <cellStyle name="Normal 2 5 41" xfId="1013"/>
    <cellStyle name="Normal 2 5 42" xfId="1014"/>
    <cellStyle name="Normal 2 5 43" xfId="1015"/>
    <cellStyle name="Normal 2 5 44" xfId="1016"/>
    <cellStyle name="Normal 2 5 45" xfId="1017"/>
    <cellStyle name="Normal 2 5 46" xfId="1018"/>
    <cellStyle name="Normal 2 5 47" xfId="1019"/>
    <cellStyle name="Normal 2 5 48" xfId="1020"/>
    <cellStyle name="Normal 2 5 49" xfId="1021"/>
    <cellStyle name="Normal 2 5 5" xfId="1022"/>
    <cellStyle name="Normal 2 5 50" xfId="1023"/>
    <cellStyle name="Normal 2 5 51" xfId="1024"/>
    <cellStyle name="Normal 2 5 52" xfId="1025"/>
    <cellStyle name="Normal 2 5 53" xfId="1026"/>
    <cellStyle name="Normal 2 5 54" xfId="1027"/>
    <cellStyle name="Normal 2 5 55" xfId="1028"/>
    <cellStyle name="Normal 2 5 56" xfId="1029"/>
    <cellStyle name="Normal 2 5 57" xfId="1030"/>
    <cellStyle name="Normal 2 5 58" xfId="1031"/>
    <cellStyle name="Normal 2 5 59" xfId="1032"/>
    <cellStyle name="Normal 2 5 6" xfId="1033"/>
    <cellStyle name="Normal 2 5 60" xfId="1034"/>
    <cellStyle name="Normal 2 5 61" xfId="1035"/>
    <cellStyle name="Normal 2 5 62" xfId="1036"/>
    <cellStyle name="Normal 2 5 63" xfId="1037"/>
    <cellStyle name="Normal 2 5 64" xfId="1038"/>
    <cellStyle name="Normal 2 5 65" xfId="1039"/>
    <cellStyle name="Normal 2 5 66" xfId="1040"/>
    <cellStyle name="Normal 2 5 67" xfId="1041"/>
    <cellStyle name="Normal 2 5 68" xfId="1042"/>
    <cellStyle name="Normal 2 5 69" xfId="1043"/>
    <cellStyle name="Normal 2 5 7" xfId="1044"/>
    <cellStyle name="Normal 2 5 70" xfId="1045"/>
    <cellStyle name="Normal 2 5 71" xfId="1046"/>
    <cellStyle name="Normal 2 5 72" xfId="1047"/>
    <cellStyle name="Normal 2 5 73" xfId="1048"/>
    <cellStyle name="Normal 2 5 74" xfId="1049"/>
    <cellStyle name="Normal 2 5 75" xfId="1050"/>
    <cellStyle name="Normal 2 5 76" xfId="1051"/>
    <cellStyle name="Normal 2 5 77" xfId="1052"/>
    <cellStyle name="Normal 2 5 78" xfId="1053"/>
    <cellStyle name="Normal 2 5 79" xfId="1054"/>
    <cellStyle name="Normal 2 5 8" xfId="1055"/>
    <cellStyle name="Normal 2 5 80" xfId="1056"/>
    <cellStyle name="Normal 2 5 81" xfId="1057"/>
    <cellStyle name="Normal 2 5 82" xfId="1058"/>
    <cellStyle name="Normal 2 5 83" xfId="1059"/>
    <cellStyle name="Normal 2 5 84" xfId="1060"/>
    <cellStyle name="Normal 2 5 85" xfId="1061"/>
    <cellStyle name="Normal 2 5 86" xfId="1062"/>
    <cellStyle name="Normal 2 5 87" xfId="1063"/>
    <cellStyle name="Normal 2 5 88" xfId="892"/>
    <cellStyle name="Normal 2 5 9" xfId="1064"/>
    <cellStyle name="Normal 2 5_DEER 032008 Cost Summary Delivery - Rev 4 (2)" xfId="1065"/>
    <cellStyle name="Normal 2 50" xfId="1066"/>
    <cellStyle name="Normal 2 51" xfId="1067"/>
    <cellStyle name="Normal 2 52" xfId="1068"/>
    <cellStyle name="Normal 2 53" xfId="1069"/>
    <cellStyle name="Normal 2 54" xfId="1070"/>
    <cellStyle name="Normal 2 55" xfId="1071"/>
    <cellStyle name="Normal 2 56" xfId="1072"/>
    <cellStyle name="Normal 2 57" xfId="1073"/>
    <cellStyle name="Normal 2 58" xfId="1074"/>
    <cellStyle name="Normal 2 59" xfId="1075"/>
    <cellStyle name="Normal 2 6" xfId="106"/>
    <cellStyle name="Normal 2 6 2" xfId="1076"/>
    <cellStyle name="Normal 2 60" xfId="1077"/>
    <cellStyle name="Normal 2 61" xfId="1078"/>
    <cellStyle name="Normal 2 62" xfId="1079"/>
    <cellStyle name="Normal 2 63" xfId="1080"/>
    <cellStyle name="Normal 2 64" xfId="1081"/>
    <cellStyle name="Normal 2 65" xfId="1082"/>
    <cellStyle name="Normal 2 66" xfId="1083"/>
    <cellStyle name="Normal 2 67" xfId="1084"/>
    <cellStyle name="Normal 2 68" xfId="1085"/>
    <cellStyle name="Normal 2 69" xfId="1086"/>
    <cellStyle name="Normal 2 7" xfId="1087"/>
    <cellStyle name="Normal 2 70" xfId="1088"/>
    <cellStyle name="Normal 2 71" xfId="1089"/>
    <cellStyle name="Normal 2 72" xfId="1090"/>
    <cellStyle name="Normal 2 73" xfId="1091"/>
    <cellStyle name="Normal 2 74" xfId="1092"/>
    <cellStyle name="Normal 2 75" xfId="1093"/>
    <cellStyle name="Normal 2 76" xfId="1094"/>
    <cellStyle name="Normal 2 77" xfId="1095"/>
    <cellStyle name="Normal 2 78" xfId="1096"/>
    <cellStyle name="Normal 2 79" xfId="1097"/>
    <cellStyle name="Normal 2 8" xfId="1098"/>
    <cellStyle name="Normal 2 8 10" xfId="1099"/>
    <cellStyle name="Normal 2 8 11" xfId="1100"/>
    <cellStyle name="Normal 2 8 12" xfId="1101"/>
    <cellStyle name="Normal 2 8 13" xfId="1102"/>
    <cellStyle name="Normal 2 8 14" xfId="1103"/>
    <cellStyle name="Normal 2 8 15" xfId="1104"/>
    <cellStyle name="Normal 2 8 16" xfId="1105"/>
    <cellStyle name="Normal 2 8 17" xfId="1106"/>
    <cellStyle name="Normal 2 8 18" xfId="1107"/>
    <cellStyle name="Normal 2 8 19" xfId="1108"/>
    <cellStyle name="Normal 2 8 2" xfId="1109"/>
    <cellStyle name="Normal 2 8 20" xfId="1110"/>
    <cellStyle name="Normal 2 8 21" xfId="1111"/>
    <cellStyle name="Normal 2 8 22" xfId="1112"/>
    <cellStyle name="Normal 2 8 23" xfId="1113"/>
    <cellStyle name="Normal 2 8 3" xfId="1114"/>
    <cellStyle name="Normal 2 8 4" xfId="1115"/>
    <cellStyle name="Normal 2 8 5" xfId="1116"/>
    <cellStyle name="Normal 2 8 6" xfId="1117"/>
    <cellStyle name="Normal 2 8 7" xfId="1118"/>
    <cellStyle name="Normal 2 8 8" xfId="1119"/>
    <cellStyle name="Normal 2 8 9" xfId="1120"/>
    <cellStyle name="Normal 2 80" xfId="1121"/>
    <cellStyle name="Normal 2 81" xfId="1122"/>
    <cellStyle name="Normal 2 82" xfId="1123"/>
    <cellStyle name="Normal 2 83" xfId="1124"/>
    <cellStyle name="Normal 2 84" xfId="1125"/>
    <cellStyle name="Normal 2 85" xfId="1126"/>
    <cellStyle name="Normal 2 86" xfId="1127"/>
    <cellStyle name="Normal 2 87" xfId="1128"/>
    <cellStyle name="Normal 2 88" xfId="1129"/>
    <cellStyle name="Normal 2 89" xfId="1130"/>
    <cellStyle name="Normal 2 9" xfId="1131"/>
    <cellStyle name="Normal 2 9 10" xfId="1132"/>
    <cellStyle name="Normal 2 9 11" xfId="1133"/>
    <cellStyle name="Normal 2 9 12" xfId="1134"/>
    <cellStyle name="Normal 2 9 13" xfId="1135"/>
    <cellStyle name="Normal 2 9 14" xfId="1136"/>
    <cellStyle name="Normal 2 9 15" xfId="1137"/>
    <cellStyle name="Normal 2 9 16" xfId="1138"/>
    <cellStyle name="Normal 2 9 17" xfId="1139"/>
    <cellStyle name="Normal 2 9 18" xfId="1140"/>
    <cellStyle name="Normal 2 9 19" xfId="1141"/>
    <cellStyle name="Normal 2 9 2" xfId="1142"/>
    <cellStyle name="Normal 2 9 20" xfId="1143"/>
    <cellStyle name="Normal 2 9 21" xfId="1144"/>
    <cellStyle name="Normal 2 9 22" xfId="1145"/>
    <cellStyle name="Normal 2 9 23" xfId="1146"/>
    <cellStyle name="Normal 2 9 3" xfId="1147"/>
    <cellStyle name="Normal 2 9 4" xfId="1148"/>
    <cellStyle name="Normal 2 9 5" xfId="1149"/>
    <cellStyle name="Normal 2 9 6" xfId="1150"/>
    <cellStyle name="Normal 2 9 7" xfId="1151"/>
    <cellStyle name="Normal 2 9 8" xfId="1152"/>
    <cellStyle name="Normal 2 9 9" xfId="1153"/>
    <cellStyle name="Normal 2 90" xfId="1154"/>
    <cellStyle name="Normal 2 91" xfId="1155"/>
    <cellStyle name="Normal 2 92" xfId="1156"/>
    <cellStyle name="Normal 2 93" xfId="1157"/>
    <cellStyle name="Normal 2 94" xfId="1158"/>
    <cellStyle name="Normal 2 95" xfId="1159"/>
    <cellStyle name="Normal 2 96" xfId="1160"/>
    <cellStyle name="Normal 2 96 2" xfId="1161"/>
    <cellStyle name="Normal 2 96 2 2" xfId="2098"/>
    <cellStyle name="Normal 2 97" xfId="1162"/>
    <cellStyle name="Normal 2 97 2" xfId="1163"/>
    <cellStyle name="Normal 2 97 2 2" xfId="2099"/>
    <cellStyle name="Normal 2 98" xfId="1164"/>
    <cellStyle name="Normal 2 98 2" xfId="1165"/>
    <cellStyle name="Normal 2 98 2 2" xfId="2100"/>
    <cellStyle name="Normal 2_DEER 032008 Cost Summary Delivery - Rev 4 (2)" xfId="1166"/>
    <cellStyle name="Normal 3" xfId="19"/>
    <cellStyle name="Normal 3 10" xfId="1167"/>
    <cellStyle name="Normal 3 10 10" xfId="1168"/>
    <cellStyle name="Normal 3 10 11" xfId="1169"/>
    <cellStyle name="Normal 3 10 12" xfId="1170"/>
    <cellStyle name="Normal 3 10 13" xfId="1171"/>
    <cellStyle name="Normal 3 10 14" xfId="1172"/>
    <cellStyle name="Normal 3 10 15" xfId="1173"/>
    <cellStyle name="Normal 3 10 16" xfId="1174"/>
    <cellStyle name="Normal 3 10 17" xfId="1175"/>
    <cellStyle name="Normal 3 10 18" xfId="1176"/>
    <cellStyle name="Normal 3 10 19" xfId="1177"/>
    <cellStyle name="Normal 3 10 2" xfId="1178"/>
    <cellStyle name="Normal 3 10 20" xfId="1179"/>
    <cellStyle name="Normal 3 10 21" xfId="1180"/>
    <cellStyle name="Normal 3 10 22" xfId="1181"/>
    <cellStyle name="Normal 3 10 23" xfId="1182"/>
    <cellStyle name="Normal 3 10 3" xfId="1183"/>
    <cellStyle name="Normal 3 10 4" xfId="1184"/>
    <cellStyle name="Normal 3 10 5" xfId="1185"/>
    <cellStyle name="Normal 3 10 6" xfId="1186"/>
    <cellStyle name="Normal 3 10 7" xfId="1187"/>
    <cellStyle name="Normal 3 10 8" xfId="1188"/>
    <cellStyle name="Normal 3 10 9" xfId="1189"/>
    <cellStyle name="Normal 3 11" xfId="1190"/>
    <cellStyle name="Normal 3 11 10" xfId="1191"/>
    <cellStyle name="Normal 3 11 11" xfId="1192"/>
    <cellStyle name="Normal 3 11 12" xfId="1193"/>
    <cellStyle name="Normal 3 11 13" xfId="1194"/>
    <cellStyle name="Normal 3 11 14" xfId="1195"/>
    <cellStyle name="Normal 3 11 15" xfId="1196"/>
    <cellStyle name="Normal 3 11 16" xfId="1197"/>
    <cellStyle name="Normal 3 11 17" xfId="1198"/>
    <cellStyle name="Normal 3 11 18" xfId="1199"/>
    <cellStyle name="Normal 3 11 19" xfId="1200"/>
    <cellStyle name="Normal 3 11 2" xfId="1201"/>
    <cellStyle name="Normal 3 11 20" xfId="1202"/>
    <cellStyle name="Normal 3 11 21" xfId="1203"/>
    <cellStyle name="Normal 3 11 22" xfId="1204"/>
    <cellStyle name="Normal 3 11 23" xfId="1205"/>
    <cellStyle name="Normal 3 11 3" xfId="1206"/>
    <cellStyle name="Normal 3 11 4" xfId="1207"/>
    <cellStyle name="Normal 3 11 5" xfId="1208"/>
    <cellStyle name="Normal 3 11 6" xfId="1209"/>
    <cellStyle name="Normal 3 11 7" xfId="1210"/>
    <cellStyle name="Normal 3 11 8" xfId="1211"/>
    <cellStyle name="Normal 3 11 9" xfId="1212"/>
    <cellStyle name="Normal 3 12" xfId="1213"/>
    <cellStyle name="Normal 3 12 10" xfId="1214"/>
    <cellStyle name="Normal 3 12 11" xfId="1215"/>
    <cellStyle name="Normal 3 12 12" xfId="1216"/>
    <cellStyle name="Normal 3 12 13" xfId="1217"/>
    <cellStyle name="Normal 3 12 14" xfId="1218"/>
    <cellStyle name="Normal 3 12 15" xfId="1219"/>
    <cellStyle name="Normal 3 12 16" xfId="1220"/>
    <cellStyle name="Normal 3 12 17" xfId="1221"/>
    <cellStyle name="Normal 3 12 18" xfId="1222"/>
    <cellStyle name="Normal 3 12 19" xfId="1223"/>
    <cellStyle name="Normal 3 12 2" xfId="1224"/>
    <cellStyle name="Normal 3 12 20" xfId="1225"/>
    <cellStyle name="Normal 3 12 21" xfId="1226"/>
    <cellStyle name="Normal 3 12 22" xfId="1227"/>
    <cellStyle name="Normal 3 12 23" xfId="1228"/>
    <cellStyle name="Normal 3 12 3" xfId="1229"/>
    <cellStyle name="Normal 3 12 4" xfId="1230"/>
    <cellStyle name="Normal 3 12 5" xfId="1231"/>
    <cellStyle name="Normal 3 12 6" xfId="1232"/>
    <cellStyle name="Normal 3 12 7" xfId="1233"/>
    <cellStyle name="Normal 3 12 8" xfId="1234"/>
    <cellStyle name="Normal 3 12 9" xfId="1235"/>
    <cellStyle name="Normal 3 13" xfId="1236"/>
    <cellStyle name="Normal 3 13 10" xfId="1237"/>
    <cellStyle name="Normal 3 13 11" xfId="1238"/>
    <cellStyle name="Normal 3 13 12" xfId="1239"/>
    <cellStyle name="Normal 3 13 13" xfId="1240"/>
    <cellStyle name="Normal 3 13 14" xfId="1241"/>
    <cellStyle name="Normal 3 13 15" xfId="1242"/>
    <cellStyle name="Normal 3 13 16" xfId="1243"/>
    <cellStyle name="Normal 3 13 17" xfId="1244"/>
    <cellStyle name="Normal 3 13 18" xfId="1245"/>
    <cellStyle name="Normal 3 13 19" xfId="1246"/>
    <cellStyle name="Normal 3 13 2" xfId="1247"/>
    <cellStyle name="Normal 3 13 20" xfId="1248"/>
    <cellStyle name="Normal 3 13 21" xfId="1249"/>
    <cellStyle name="Normal 3 13 22" xfId="1250"/>
    <cellStyle name="Normal 3 13 23" xfId="1251"/>
    <cellStyle name="Normal 3 13 3" xfId="1252"/>
    <cellStyle name="Normal 3 13 4" xfId="1253"/>
    <cellStyle name="Normal 3 13 5" xfId="1254"/>
    <cellStyle name="Normal 3 13 6" xfId="1255"/>
    <cellStyle name="Normal 3 13 7" xfId="1256"/>
    <cellStyle name="Normal 3 13 8" xfId="1257"/>
    <cellStyle name="Normal 3 13 9" xfId="1258"/>
    <cellStyle name="Normal 3 14" xfId="1259"/>
    <cellStyle name="Normal 3 14 10" xfId="1260"/>
    <cellStyle name="Normal 3 14 11" xfId="1261"/>
    <cellStyle name="Normal 3 14 12" xfId="1262"/>
    <cellStyle name="Normal 3 14 13" xfId="1263"/>
    <cellStyle name="Normal 3 14 14" xfId="1264"/>
    <cellStyle name="Normal 3 14 15" xfId="1265"/>
    <cellStyle name="Normal 3 14 16" xfId="1266"/>
    <cellStyle name="Normal 3 14 17" xfId="1267"/>
    <cellStyle name="Normal 3 14 18" xfId="1268"/>
    <cellStyle name="Normal 3 14 19" xfId="1269"/>
    <cellStyle name="Normal 3 14 2" xfId="1270"/>
    <cellStyle name="Normal 3 14 20" xfId="1271"/>
    <cellStyle name="Normal 3 14 21" xfId="1272"/>
    <cellStyle name="Normal 3 14 22" xfId="1273"/>
    <cellStyle name="Normal 3 14 23" xfId="1274"/>
    <cellStyle name="Normal 3 14 3" xfId="1275"/>
    <cellStyle name="Normal 3 14 4" xfId="1276"/>
    <cellStyle name="Normal 3 14 5" xfId="1277"/>
    <cellStyle name="Normal 3 14 6" xfId="1278"/>
    <cellStyle name="Normal 3 14 7" xfId="1279"/>
    <cellStyle name="Normal 3 14 8" xfId="1280"/>
    <cellStyle name="Normal 3 14 9" xfId="1281"/>
    <cellStyle name="Normal 3 15" xfId="1282"/>
    <cellStyle name="Normal 3 15 10" xfId="1283"/>
    <cellStyle name="Normal 3 15 11" xfId="1284"/>
    <cellStyle name="Normal 3 15 12" xfId="1285"/>
    <cellStyle name="Normal 3 15 13" xfId="1286"/>
    <cellStyle name="Normal 3 15 14" xfId="1287"/>
    <cellStyle name="Normal 3 15 15" xfId="1288"/>
    <cellStyle name="Normal 3 15 16" xfId="1289"/>
    <cellStyle name="Normal 3 15 17" xfId="1290"/>
    <cellStyle name="Normal 3 15 18" xfId="1291"/>
    <cellStyle name="Normal 3 15 19" xfId="1292"/>
    <cellStyle name="Normal 3 15 2" xfId="1293"/>
    <cellStyle name="Normal 3 15 20" xfId="1294"/>
    <cellStyle name="Normal 3 15 21" xfId="1295"/>
    <cellStyle name="Normal 3 15 22" xfId="1296"/>
    <cellStyle name="Normal 3 15 23" xfId="1297"/>
    <cellStyle name="Normal 3 15 3" xfId="1298"/>
    <cellStyle name="Normal 3 15 4" xfId="1299"/>
    <cellStyle name="Normal 3 15 5" xfId="1300"/>
    <cellStyle name="Normal 3 15 6" xfId="1301"/>
    <cellStyle name="Normal 3 15 7" xfId="1302"/>
    <cellStyle name="Normal 3 15 8" xfId="1303"/>
    <cellStyle name="Normal 3 15 9" xfId="1304"/>
    <cellStyle name="Normal 3 16" xfId="1305"/>
    <cellStyle name="Normal 3 16 10" xfId="1306"/>
    <cellStyle name="Normal 3 16 11" xfId="1307"/>
    <cellStyle name="Normal 3 16 12" xfId="1308"/>
    <cellStyle name="Normal 3 16 13" xfId="1309"/>
    <cellStyle name="Normal 3 16 14" xfId="1310"/>
    <cellStyle name="Normal 3 16 15" xfId="1311"/>
    <cellStyle name="Normal 3 16 16" xfId="1312"/>
    <cellStyle name="Normal 3 16 17" xfId="1313"/>
    <cellStyle name="Normal 3 16 18" xfId="1314"/>
    <cellStyle name="Normal 3 16 19" xfId="1315"/>
    <cellStyle name="Normal 3 16 2" xfId="1316"/>
    <cellStyle name="Normal 3 16 20" xfId="1317"/>
    <cellStyle name="Normal 3 16 21" xfId="1318"/>
    <cellStyle name="Normal 3 16 22" xfId="1319"/>
    <cellStyle name="Normal 3 16 23" xfId="1320"/>
    <cellStyle name="Normal 3 16 3" xfId="1321"/>
    <cellStyle name="Normal 3 16 4" xfId="1322"/>
    <cellStyle name="Normal 3 16 5" xfId="1323"/>
    <cellStyle name="Normal 3 16 6" xfId="1324"/>
    <cellStyle name="Normal 3 16 7" xfId="1325"/>
    <cellStyle name="Normal 3 16 8" xfId="1326"/>
    <cellStyle name="Normal 3 16 9" xfId="1327"/>
    <cellStyle name="Normal 3 17" xfId="1328"/>
    <cellStyle name="Normal 3 17 10" xfId="1329"/>
    <cellStyle name="Normal 3 17 11" xfId="1330"/>
    <cellStyle name="Normal 3 17 12" xfId="1331"/>
    <cellStyle name="Normal 3 17 13" xfId="1332"/>
    <cellStyle name="Normal 3 17 14" xfId="1333"/>
    <cellStyle name="Normal 3 17 15" xfId="1334"/>
    <cellStyle name="Normal 3 17 16" xfId="1335"/>
    <cellStyle name="Normal 3 17 17" xfId="1336"/>
    <cellStyle name="Normal 3 17 18" xfId="1337"/>
    <cellStyle name="Normal 3 17 19" xfId="1338"/>
    <cellStyle name="Normal 3 17 2" xfId="1339"/>
    <cellStyle name="Normal 3 17 20" xfId="1340"/>
    <cellStyle name="Normal 3 17 21" xfId="1341"/>
    <cellStyle name="Normal 3 17 22" xfId="1342"/>
    <cellStyle name="Normal 3 17 23" xfId="1343"/>
    <cellStyle name="Normal 3 17 3" xfId="1344"/>
    <cellStyle name="Normal 3 17 4" xfId="1345"/>
    <cellStyle name="Normal 3 17 5" xfId="1346"/>
    <cellStyle name="Normal 3 17 6" xfId="1347"/>
    <cellStyle name="Normal 3 17 7" xfId="1348"/>
    <cellStyle name="Normal 3 17 8" xfId="1349"/>
    <cellStyle name="Normal 3 17 9" xfId="1350"/>
    <cellStyle name="Normal 3 18" xfId="1351"/>
    <cellStyle name="Normal 3 18 10" xfId="1352"/>
    <cellStyle name="Normal 3 18 11" xfId="1353"/>
    <cellStyle name="Normal 3 18 12" xfId="1354"/>
    <cellStyle name="Normal 3 18 13" xfId="1355"/>
    <cellStyle name="Normal 3 18 14" xfId="1356"/>
    <cellStyle name="Normal 3 18 15" xfId="1357"/>
    <cellStyle name="Normal 3 18 16" xfId="1358"/>
    <cellStyle name="Normal 3 18 17" xfId="1359"/>
    <cellStyle name="Normal 3 18 18" xfId="1360"/>
    <cellStyle name="Normal 3 18 19" xfId="1361"/>
    <cellStyle name="Normal 3 18 2" xfId="1362"/>
    <cellStyle name="Normal 3 18 20" xfId="1363"/>
    <cellStyle name="Normal 3 18 21" xfId="1364"/>
    <cellStyle name="Normal 3 18 22" xfId="1365"/>
    <cellStyle name="Normal 3 18 23" xfId="1366"/>
    <cellStyle name="Normal 3 18 3" xfId="1367"/>
    <cellStyle name="Normal 3 18 4" xfId="1368"/>
    <cellStyle name="Normal 3 18 5" xfId="1369"/>
    <cellStyle name="Normal 3 18 6" xfId="1370"/>
    <cellStyle name="Normal 3 18 7" xfId="1371"/>
    <cellStyle name="Normal 3 18 8" xfId="1372"/>
    <cellStyle name="Normal 3 18 9" xfId="1373"/>
    <cellStyle name="Normal 3 19" xfId="1374"/>
    <cellStyle name="Normal 3 19 10" xfId="1375"/>
    <cellStyle name="Normal 3 19 11" xfId="1376"/>
    <cellStyle name="Normal 3 19 12" xfId="1377"/>
    <cellStyle name="Normal 3 19 13" xfId="1378"/>
    <cellStyle name="Normal 3 19 14" xfId="1379"/>
    <cellStyle name="Normal 3 19 15" xfId="1380"/>
    <cellStyle name="Normal 3 19 16" xfId="1381"/>
    <cellStyle name="Normal 3 19 17" xfId="1382"/>
    <cellStyle name="Normal 3 19 18" xfId="1383"/>
    <cellStyle name="Normal 3 19 19" xfId="1384"/>
    <cellStyle name="Normal 3 19 2" xfId="1385"/>
    <cellStyle name="Normal 3 19 20" xfId="1386"/>
    <cellStyle name="Normal 3 19 21" xfId="1387"/>
    <cellStyle name="Normal 3 19 22" xfId="1388"/>
    <cellStyle name="Normal 3 19 23" xfId="1389"/>
    <cellStyle name="Normal 3 19 3" xfId="1390"/>
    <cellStyle name="Normal 3 19 4" xfId="1391"/>
    <cellStyle name="Normal 3 19 5" xfId="1392"/>
    <cellStyle name="Normal 3 19 6" xfId="1393"/>
    <cellStyle name="Normal 3 19 7" xfId="1394"/>
    <cellStyle name="Normal 3 19 8" xfId="1395"/>
    <cellStyle name="Normal 3 19 9" xfId="1396"/>
    <cellStyle name="Normal 3 2" xfId="40"/>
    <cellStyle name="Normal 3 2 10" xfId="1397"/>
    <cellStyle name="Normal 3 2 11" xfId="1398"/>
    <cellStyle name="Normal 3 2 12" xfId="1399"/>
    <cellStyle name="Normal 3 2 13" xfId="1400"/>
    <cellStyle name="Normal 3 2 14" xfId="1401"/>
    <cellStyle name="Normal 3 2 15" xfId="1402"/>
    <cellStyle name="Normal 3 2 16" xfId="1403"/>
    <cellStyle name="Normal 3 2 17" xfId="1404"/>
    <cellStyle name="Normal 3 2 18" xfId="1405"/>
    <cellStyle name="Normal 3 2 19" xfId="1406"/>
    <cellStyle name="Normal 3 2 2" xfId="107"/>
    <cellStyle name="Normal 3 2 2 10" xfId="1407"/>
    <cellStyle name="Normal 3 2 2 11" xfId="1408"/>
    <cellStyle name="Normal 3 2 2 12" xfId="1409"/>
    <cellStyle name="Normal 3 2 2 13" xfId="1410"/>
    <cellStyle name="Normal 3 2 2 14" xfId="1411"/>
    <cellStyle name="Normal 3 2 2 15" xfId="1412"/>
    <cellStyle name="Normal 3 2 2 16" xfId="1413"/>
    <cellStyle name="Normal 3 2 2 17" xfId="1414"/>
    <cellStyle name="Normal 3 2 2 18" xfId="1415"/>
    <cellStyle name="Normal 3 2 2 19" xfId="1416"/>
    <cellStyle name="Normal 3 2 2 2" xfId="1417"/>
    <cellStyle name="Normal 3 2 2 20" xfId="1418"/>
    <cellStyle name="Normal 3 2 2 21" xfId="1419"/>
    <cellStyle name="Normal 3 2 2 22" xfId="1420"/>
    <cellStyle name="Normal 3 2 2 23" xfId="1421"/>
    <cellStyle name="Normal 3 2 2 24" xfId="1422"/>
    <cellStyle name="Normal 3 2 2 25" xfId="1423"/>
    <cellStyle name="Normal 3 2 2 26" xfId="1424"/>
    <cellStyle name="Normal 3 2 2 27" xfId="1425"/>
    <cellStyle name="Normal 3 2 2 28" xfId="1426"/>
    <cellStyle name="Normal 3 2 2 29" xfId="1427"/>
    <cellStyle name="Normal 3 2 2 3" xfId="1428"/>
    <cellStyle name="Normal 3 2 2 30" xfId="1429"/>
    <cellStyle name="Normal 3 2 2 31" xfId="1430"/>
    <cellStyle name="Normal 3 2 2 32" xfId="1431"/>
    <cellStyle name="Normal 3 2 2 33" xfId="1432"/>
    <cellStyle name="Normal 3 2 2 4" xfId="1433"/>
    <cellStyle name="Normal 3 2 2 5" xfId="1434"/>
    <cellStyle name="Normal 3 2 2 6" xfId="1435"/>
    <cellStyle name="Normal 3 2 2 7" xfId="1436"/>
    <cellStyle name="Normal 3 2 2 8" xfId="1437"/>
    <cellStyle name="Normal 3 2 2 9" xfId="1438"/>
    <cellStyle name="Normal 3 2 20" xfId="1439"/>
    <cellStyle name="Normal 3 2 21" xfId="1440"/>
    <cellStyle name="Normal 3 2 22" xfId="1441"/>
    <cellStyle name="Normal 3 2 23" xfId="1442"/>
    <cellStyle name="Normal 3 2 24" xfId="1443"/>
    <cellStyle name="Normal 3 2 25" xfId="1444"/>
    <cellStyle name="Normal 3 2 26" xfId="1445"/>
    <cellStyle name="Normal 3 2 27" xfId="1446"/>
    <cellStyle name="Normal 3 2 28" xfId="1447"/>
    <cellStyle name="Normal 3 2 29" xfId="1448"/>
    <cellStyle name="Normal 3 2 3" xfId="123"/>
    <cellStyle name="Normal 3 2 3 2" xfId="1449"/>
    <cellStyle name="Normal 3 2 30" xfId="1450"/>
    <cellStyle name="Normal 3 2 31" xfId="1451"/>
    <cellStyle name="Normal 3 2 32" xfId="1452"/>
    <cellStyle name="Normal 3 2 33" xfId="1453"/>
    <cellStyle name="Normal 3 2 34" xfId="1454"/>
    <cellStyle name="Normal 3 2 35" xfId="1455"/>
    <cellStyle name="Normal 3 2 36" xfId="1456"/>
    <cellStyle name="Normal 3 2 37" xfId="1457"/>
    <cellStyle name="Normal 3 2 38" xfId="1458"/>
    <cellStyle name="Normal 3 2 39" xfId="1459"/>
    <cellStyle name="Normal 3 2 4" xfId="1460"/>
    <cellStyle name="Normal 3 2 40" xfId="1461"/>
    <cellStyle name="Normal 3 2 41" xfId="1462"/>
    <cellStyle name="Normal 3 2 42" xfId="1463"/>
    <cellStyle name="Normal 3 2 43" xfId="1464"/>
    <cellStyle name="Normal 3 2 44" xfId="1465"/>
    <cellStyle name="Normal 3 2 45" xfId="1466"/>
    <cellStyle name="Normal 3 2 46" xfId="1467"/>
    <cellStyle name="Normal 3 2 47" xfId="1468"/>
    <cellStyle name="Normal 3 2 48" xfId="1469"/>
    <cellStyle name="Normal 3 2 49" xfId="1470"/>
    <cellStyle name="Normal 3 2 5" xfId="1471"/>
    <cellStyle name="Normal 3 2 50" xfId="1472"/>
    <cellStyle name="Normal 3 2 51" xfId="1473"/>
    <cellStyle name="Normal 3 2 52" xfId="1474"/>
    <cellStyle name="Normal 3 2 53" xfId="1475"/>
    <cellStyle name="Normal 3 2 54" xfId="1476"/>
    <cellStyle name="Normal 3 2 55" xfId="1477"/>
    <cellStyle name="Normal 3 2 6" xfId="1478"/>
    <cellStyle name="Normal 3 2 7" xfId="1479"/>
    <cellStyle name="Normal 3 2 8" xfId="1480"/>
    <cellStyle name="Normal 3 2 9" xfId="1481"/>
    <cellStyle name="Normal 3 20" xfId="1482"/>
    <cellStyle name="Normal 3 20 10" xfId="1483"/>
    <cellStyle name="Normal 3 20 11" xfId="1484"/>
    <cellStyle name="Normal 3 20 12" xfId="1485"/>
    <cellStyle name="Normal 3 20 13" xfId="1486"/>
    <cellStyle name="Normal 3 20 14" xfId="1487"/>
    <cellStyle name="Normal 3 20 15" xfId="1488"/>
    <cellStyle name="Normal 3 20 16" xfId="1489"/>
    <cellStyle name="Normal 3 20 17" xfId="1490"/>
    <cellStyle name="Normal 3 20 18" xfId="1491"/>
    <cellStyle name="Normal 3 20 19" xfId="1492"/>
    <cellStyle name="Normal 3 20 2" xfId="1493"/>
    <cellStyle name="Normal 3 20 20" xfId="1494"/>
    <cellStyle name="Normal 3 20 21" xfId="1495"/>
    <cellStyle name="Normal 3 20 22" xfId="1496"/>
    <cellStyle name="Normal 3 20 23" xfId="1497"/>
    <cellStyle name="Normal 3 20 3" xfId="1498"/>
    <cellStyle name="Normal 3 20 4" xfId="1499"/>
    <cellStyle name="Normal 3 20 5" xfId="1500"/>
    <cellStyle name="Normal 3 20 6" xfId="1501"/>
    <cellStyle name="Normal 3 20 7" xfId="1502"/>
    <cellStyle name="Normal 3 20 8" xfId="1503"/>
    <cellStyle name="Normal 3 20 9" xfId="1504"/>
    <cellStyle name="Normal 3 21" xfId="1505"/>
    <cellStyle name="Normal 3 21 10" xfId="1506"/>
    <cellStyle name="Normal 3 21 11" xfId="1507"/>
    <cellStyle name="Normal 3 21 12" xfId="1508"/>
    <cellStyle name="Normal 3 21 13" xfId="1509"/>
    <cellStyle name="Normal 3 21 14" xfId="1510"/>
    <cellStyle name="Normal 3 21 15" xfId="1511"/>
    <cellStyle name="Normal 3 21 16" xfId="1512"/>
    <cellStyle name="Normal 3 21 17" xfId="1513"/>
    <cellStyle name="Normal 3 21 18" xfId="1514"/>
    <cellStyle name="Normal 3 21 19" xfId="1515"/>
    <cellStyle name="Normal 3 21 2" xfId="1516"/>
    <cellStyle name="Normal 3 21 20" xfId="1517"/>
    <cellStyle name="Normal 3 21 21" xfId="1518"/>
    <cellStyle name="Normal 3 21 22" xfId="1519"/>
    <cellStyle name="Normal 3 21 23" xfId="1520"/>
    <cellStyle name="Normal 3 21 3" xfId="1521"/>
    <cellStyle name="Normal 3 21 4" xfId="1522"/>
    <cellStyle name="Normal 3 21 5" xfId="1523"/>
    <cellStyle name="Normal 3 21 6" xfId="1524"/>
    <cellStyle name="Normal 3 21 7" xfId="1525"/>
    <cellStyle name="Normal 3 21 8" xfId="1526"/>
    <cellStyle name="Normal 3 21 9" xfId="1527"/>
    <cellStyle name="Normal 3 22" xfId="1528"/>
    <cellStyle name="Normal 3 22 10" xfId="1529"/>
    <cellStyle name="Normal 3 22 11" xfId="1530"/>
    <cellStyle name="Normal 3 22 12" xfId="1531"/>
    <cellStyle name="Normal 3 22 13" xfId="1532"/>
    <cellStyle name="Normal 3 22 14" xfId="1533"/>
    <cellStyle name="Normal 3 22 15" xfId="1534"/>
    <cellStyle name="Normal 3 22 16" xfId="1535"/>
    <cellStyle name="Normal 3 22 17" xfId="1536"/>
    <cellStyle name="Normal 3 22 18" xfId="1537"/>
    <cellStyle name="Normal 3 22 19" xfId="1538"/>
    <cellStyle name="Normal 3 22 2" xfId="1539"/>
    <cellStyle name="Normal 3 22 20" xfId="1540"/>
    <cellStyle name="Normal 3 22 21" xfId="1541"/>
    <cellStyle name="Normal 3 22 22" xfId="1542"/>
    <cellStyle name="Normal 3 22 23" xfId="1543"/>
    <cellStyle name="Normal 3 22 3" xfId="1544"/>
    <cellStyle name="Normal 3 22 4" xfId="1545"/>
    <cellStyle name="Normal 3 22 5" xfId="1546"/>
    <cellStyle name="Normal 3 22 6" xfId="1547"/>
    <cellStyle name="Normal 3 22 7" xfId="1548"/>
    <cellStyle name="Normal 3 22 8" xfId="1549"/>
    <cellStyle name="Normal 3 22 9" xfId="1550"/>
    <cellStyle name="Normal 3 23" xfId="1551"/>
    <cellStyle name="Normal 3 23 10" xfId="1552"/>
    <cellStyle name="Normal 3 23 11" xfId="1553"/>
    <cellStyle name="Normal 3 23 12" xfId="1554"/>
    <cellStyle name="Normal 3 23 13" xfId="1555"/>
    <cellStyle name="Normal 3 23 14" xfId="1556"/>
    <cellStyle name="Normal 3 23 15" xfId="1557"/>
    <cellStyle name="Normal 3 23 16" xfId="1558"/>
    <cellStyle name="Normal 3 23 17" xfId="1559"/>
    <cellStyle name="Normal 3 23 18" xfId="1560"/>
    <cellStyle name="Normal 3 23 19" xfId="1561"/>
    <cellStyle name="Normal 3 23 2" xfId="1562"/>
    <cellStyle name="Normal 3 23 20" xfId="1563"/>
    <cellStyle name="Normal 3 23 21" xfId="1564"/>
    <cellStyle name="Normal 3 23 22" xfId="1565"/>
    <cellStyle name="Normal 3 23 23" xfId="1566"/>
    <cellStyle name="Normal 3 23 3" xfId="1567"/>
    <cellStyle name="Normal 3 23 4" xfId="1568"/>
    <cellStyle name="Normal 3 23 5" xfId="1569"/>
    <cellStyle name="Normal 3 23 6" xfId="1570"/>
    <cellStyle name="Normal 3 23 7" xfId="1571"/>
    <cellStyle name="Normal 3 23 8" xfId="1572"/>
    <cellStyle name="Normal 3 23 9" xfId="1573"/>
    <cellStyle name="Normal 3 24" xfId="1574"/>
    <cellStyle name="Normal 3 24 10" xfId="1575"/>
    <cellStyle name="Normal 3 24 11" xfId="1576"/>
    <cellStyle name="Normal 3 24 12" xfId="1577"/>
    <cellStyle name="Normal 3 24 13" xfId="1578"/>
    <cellStyle name="Normal 3 24 14" xfId="1579"/>
    <cellStyle name="Normal 3 24 15" xfId="1580"/>
    <cellStyle name="Normal 3 24 16" xfId="1581"/>
    <cellStyle name="Normal 3 24 17" xfId="1582"/>
    <cellStyle name="Normal 3 24 18" xfId="1583"/>
    <cellStyle name="Normal 3 24 19" xfId="1584"/>
    <cellStyle name="Normal 3 24 2" xfId="1585"/>
    <cellStyle name="Normal 3 24 20" xfId="1586"/>
    <cellStyle name="Normal 3 24 21" xfId="1587"/>
    <cellStyle name="Normal 3 24 22" xfId="1588"/>
    <cellStyle name="Normal 3 24 23" xfId="1589"/>
    <cellStyle name="Normal 3 24 3" xfId="1590"/>
    <cellStyle name="Normal 3 24 4" xfId="1591"/>
    <cellStyle name="Normal 3 24 5" xfId="1592"/>
    <cellStyle name="Normal 3 24 6" xfId="1593"/>
    <cellStyle name="Normal 3 24 7" xfId="1594"/>
    <cellStyle name="Normal 3 24 8" xfId="1595"/>
    <cellStyle name="Normal 3 24 9" xfId="1596"/>
    <cellStyle name="Normal 3 25" xfId="1597"/>
    <cellStyle name="Normal 3 25 10" xfId="1598"/>
    <cellStyle name="Normal 3 25 11" xfId="1599"/>
    <cellStyle name="Normal 3 25 12" xfId="1600"/>
    <cellStyle name="Normal 3 25 13" xfId="1601"/>
    <cellStyle name="Normal 3 25 14" xfId="1602"/>
    <cellStyle name="Normal 3 25 15" xfId="1603"/>
    <cellStyle name="Normal 3 25 16" xfId="1604"/>
    <cellStyle name="Normal 3 25 17" xfId="1605"/>
    <cellStyle name="Normal 3 25 18" xfId="1606"/>
    <cellStyle name="Normal 3 25 19" xfId="1607"/>
    <cellStyle name="Normal 3 25 2" xfId="1608"/>
    <cellStyle name="Normal 3 25 20" xfId="1609"/>
    <cellStyle name="Normal 3 25 21" xfId="1610"/>
    <cellStyle name="Normal 3 25 22" xfId="1611"/>
    <cellStyle name="Normal 3 25 23" xfId="1612"/>
    <cellStyle name="Normal 3 25 3" xfId="1613"/>
    <cellStyle name="Normal 3 25 4" xfId="1614"/>
    <cellStyle name="Normal 3 25 5" xfId="1615"/>
    <cellStyle name="Normal 3 25 6" xfId="1616"/>
    <cellStyle name="Normal 3 25 7" xfId="1617"/>
    <cellStyle name="Normal 3 25 8" xfId="1618"/>
    <cellStyle name="Normal 3 25 9" xfId="1619"/>
    <cellStyle name="Normal 3 26" xfId="1620"/>
    <cellStyle name="Normal 3 26 10" xfId="1621"/>
    <cellStyle name="Normal 3 26 11" xfId="1622"/>
    <cellStyle name="Normal 3 26 12" xfId="1623"/>
    <cellStyle name="Normal 3 26 13" xfId="1624"/>
    <cellStyle name="Normal 3 26 14" xfId="1625"/>
    <cellStyle name="Normal 3 26 15" xfId="1626"/>
    <cellStyle name="Normal 3 26 16" xfId="1627"/>
    <cellStyle name="Normal 3 26 17" xfId="1628"/>
    <cellStyle name="Normal 3 26 18" xfId="1629"/>
    <cellStyle name="Normal 3 26 19" xfId="1630"/>
    <cellStyle name="Normal 3 26 2" xfId="1631"/>
    <cellStyle name="Normal 3 26 20" xfId="1632"/>
    <cellStyle name="Normal 3 26 21" xfId="1633"/>
    <cellStyle name="Normal 3 26 22" xfId="1634"/>
    <cellStyle name="Normal 3 26 23" xfId="1635"/>
    <cellStyle name="Normal 3 26 3" xfId="1636"/>
    <cellStyle name="Normal 3 26 4" xfId="1637"/>
    <cellStyle name="Normal 3 26 5" xfId="1638"/>
    <cellStyle name="Normal 3 26 6" xfId="1639"/>
    <cellStyle name="Normal 3 26 7" xfId="1640"/>
    <cellStyle name="Normal 3 26 8" xfId="1641"/>
    <cellStyle name="Normal 3 26 9" xfId="1642"/>
    <cellStyle name="Normal 3 27" xfId="1643"/>
    <cellStyle name="Normal 3 27 10" xfId="1644"/>
    <cellStyle name="Normal 3 27 11" xfId="1645"/>
    <cellStyle name="Normal 3 27 12" xfId="1646"/>
    <cellStyle name="Normal 3 27 13" xfId="1647"/>
    <cellStyle name="Normal 3 27 14" xfId="1648"/>
    <cellStyle name="Normal 3 27 15" xfId="1649"/>
    <cellStyle name="Normal 3 27 16" xfId="1650"/>
    <cellStyle name="Normal 3 27 17" xfId="1651"/>
    <cellStyle name="Normal 3 27 18" xfId="1652"/>
    <cellStyle name="Normal 3 27 19" xfId="1653"/>
    <cellStyle name="Normal 3 27 2" xfId="1654"/>
    <cellStyle name="Normal 3 27 20" xfId="1655"/>
    <cellStyle name="Normal 3 27 21" xfId="1656"/>
    <cellStyle name="Normal 3 27 22" xfId="1657"/>
    <cellStyle name="Normal 3 27 23" xfId="1658"/>
    <cellStyle name="Normal 3 27 3" xfId="1659"/>
    <cellStyle name="Normal 3 27 4" xfId="1660"/>
    <cellStyle name="Normal 3 27 5" xfId="1661"/>
    <cellStyle name="Normal 3 27 6" xfId="1662"/>
    <cellStyle name="Normal 3 27 7" xfId="1663"/>
    <cellStyle name="Normal 3 27 8" xfId="1664"/>
    <cellStyle name="Normal 3 27 9" xfId="1665"/>
    <cellStyle name="Normal 3 28" xfId="1666"/>
    <cellStyle name="Normal 3 28 10" xfId="1667"/>
    <cellStyle name="Normal 3 28 11" xfId="1668"/>
    <cellStyle name="Normal 3 28 12" xfId="1669"/>
    <cellStyle name="Normal 3 28 13" xfId="1670"/>
    <cellStyle name="Normal 3 28 14" xfId="1671"/>
    <cellStyle name="Normal 3 28 15" xfId="1672"/>
    <cellStyle name="Normal 3 28 16" xfId="1673"/>
    <cellStyle name="Normal 3 28 17" xfId="1674"/>
    <cellStyle name="Normal 3 28 18" xfId="1675"/>
    <cellStyle name="Normal 3 28 19" xfId="1676"/>
    <cellStyle name="Normal 3 28 2" xfId="1677"/>
    <cellStyle name="Normal 3 28 20" xfId="1678"/>
    <cellStyle name="Normal 3 28 21" xfId="1679"/>
    <cellStyle name="Normal 3 28 22" xfId="1680"/>
    <cellStyle name="Normal 3 28 23" xfId="1681"/>
    <cellStyle name="Normal 3 28 3" xfId="1682"/>
    <cellStyle name="Normal 3 28 4" xfId="1683"/>
    <cellStyle name="Normal 3 28 5" xfId="1684"/>
    <cellStyle name="Normal 3 28 6" xfId="1685"/>
    <cellStyle name="Normal 3 28 7" xfId="1686"/>
    <cellStyle name="Normal 3 28 8" xfId="1687"/>
    <cellStyle name="Normal 3 28 9" xfId="1688"/>
    <cellStyle name="Normal 3 29" xfId="1689"/>
    <cellStyle name="Normal 3 29 10" xfId="1690"/>
    <cellStyle name="Normal 3 29 11" xfId="1691"/>
    <cellStyle name="Normal 3 29 12" xfId="1692"/>
    <cellStyle name="Normal 3 29 13" xfId="1693"/>
    <cellStyle name="Normal 3 29 14" xfId="1694"/>
    <cellStyle name="Normal 3 29 15" xfId="1695"/>
    <cellStyle name="Normal 3 29 16" xfId="1696"/>
    <cellStyle name="Normal 3 29 17" xfId="1697"/>
    <cellStyle name="Normal 3 29 18" xfId="1698"/>
    <cellStyle name="Normal 3 29 19" xfId="1699"/>
    <cellStyle name="Normal 3 29 2" xfId="1700"/>
    <cellStyle name="Normal 3 29 20" xfId="1701"/>
    <cellStyle name="Normal 3 29 21" xfId="1702"/>
    <cellStyle name="Normal 3 29 22" xfId="1703"/>
    <cellStyle name="Normal 3 29 23" xfId="1704"/>
    <cellStyle name="Normal 3 29 3" xfId="1705"/>
    <cellStyle name="Normal 3 29 4" xfId="1706"/>
    <cellStyle name="Normal 3 29 5" xfId="1707"/>
    <cellStyle name="Normal 3 29 6" xfId="1708"/>
    <cellStyle name="Normal 3 29 7" xfId="1709"/>
    <cellStyle name="Normal 3 29 8" xfId="1710"/>
    <cellStyle name="Normal 3 29 9" xfId="1711"/>
    <cellStyle name="Normal 3 3" xfId="108"/>
    <cellStyle name="Normal 3 3 10" xfId="1712"/>
    <cellStyle name="Normal 3 3 11" xfId="1713"/>
    <cellStyle name="Normal 3 3 12" xfId="1714"/>
    <cellStyle name="Normal 3 3 13" xfId="1715"/>
    <cellStyle name="Normal 3 3 14" xfId="1716"/>
    <cellStyle name="Normal 3 3 15" xfId="1717"/>
    <cellStyle name="Normal 3 3 16" xfId="1718"/>
    <cellStyle name="Normal 3 3 17" xfId="1719"/>
    <cellStyle name="Normal 3 3 18" xfId="1720"/>
    <cellStyle name="Normal 3 3 19" xfId="1721"/>
    <cellStyle name="Normal 3 3 2" xfId="1722"/>
    <cellStyle name="Normal 3 3 20" xfId="1723"/>
    <cellStyle name="Normal 3 3 21" xfId="1724"/>
    <cellStyle name="Normal 3 3 22" xfId="1725"/>
    <cellStyle name="Normal 3 3 23" xfId="1726"/>
    <cellStyle name="Normal 3 3 3" xfId="1727"/>
    <cellStyle name="Normal 3 3 4" xfId="1728"/>
    <cellStyle name="Normal 3 3 5" xfId="1729"/>
    <cellStyle name="Normal 3 3 6" xfId="1730"/>
    <cellStyle name="Normal 3 3 7" xfId="1731"/>
    <cellStyle name="Normal 3 3 8" xfId="1732"/>
    <cellStyle name="Normal 3 3 9" xfId="1733"/>
    <cellStyle name="Normal 3 30" xfId="1734"/>
    <cellStyle name="Normal 3 30 10" xfId="1735"/>
    <cellStyle name="Normal 3 30 11" xfId="1736"/>
    <cellStyle name="Normal 3 30 12" xfId="1737"/>
    <cellStyle name="Normal 3 30 13" xfId="1738"/>
    <cellStyle name="Normal 3 30 14" xfId="1739"/>
    <cellStyle name="Normal 3 30 15" xfId="1740"/>
    <cellStyle name="Normal 3 30 16" xfId="1741"/>
    <cellStyle name="Normal 3 30 17" xfId="1742"/>
    <cellStyle name="Normal 3 30 18" xfId="1743"/>
    <cellStyle name="Normal 3 30 19" xfId="1744"/>
    <cellStyle name="Normal 3 30 2" xfId="1745"/>
    <cellStyle name="Normal 3 30 20" xfId="1746"/>
    <cellStyle name="Normal 3 30 21" xfId="1747"/>
    <cellStyle name="Normal 3 30 22" xfId="1748"/>
    <cellStyle name="Normal 3 30 23" xfId="1749"/>
    <cellStyle name="Normal 3 30 3" xfId="1750"/>
    <cellStyle name="Normal 3 30 4" xfId="1751"/>
    <cellStyle name="Normal 3 30 5" xfId="1752"/>
    <cellStyle name="Normal 3 30 6" xfId="1753"/>
    <cellStyle name="Normal 3 30 7" xfId="1754"/>
    <cellStyle name="Normal 3 30 8" xfId="1755"/>
    <cellStyle name="Normal 3 30 9" xfId="1756"/>
    <cellStyle name="Normal 3 31" xfId="1757"/>
    <cellStyle name="Normal 3 31 10" xfId="1758"/>
    <cellStyle name="Normal 3 31 11" xfId="1759"/>
    <cellStyle name="Normal 3 31 12" xfId="1760"/>
    <cellStyle name="Normal 3 31 13" xfId="1761"/>
    <cellStyle name="Normal 3 31 14" xfId="1762"/>
    <cellStyle name="Normal 3 31 15" xfId="1763"/>
    <cellStyle name="Normal 3 31 16" xfId="1764"/>
    <cellStyle name="Normal 3 31 17" xfId="1765"/>
    <cellStyle name="Normal 3 31 18" xfId="1766"/>
    <cellStyle name="Normal 3 31 19" xfId="1767"/>
    <cellStyle name="Normal 3 31 2" xfId="1768"/>
    <cellStyle name="Normal 3 31 20" xfId="1769"/>
    <cellStyle name="Normal 3 31 21" xfId="1770"/>
    <cellStyle name="Normal 3 31 22" xfId="1771"/>
    <cellStyle name="Normal 3 31 23" xfId="1772"/>
    <cellStyle name="Normal 3 31 3" xfId="1773"/>
    <cellStyle name="Normal 3 31 4" xfId="1774"/>
    <cellStyle name="Normal 3 31 5" xfId="1775"/>
    <cellStyle name="Normal 3 31 6" xfId="1776"/>
    <cellStyle name="Normal 3 31 7" xfId="1777"/>
    <cellStyle name="Normal 3 31 8" xfId="1778"/>
    <cellStyle name="Normal 3 31 9" xfId="1779"/>
    <cellStyle name="Normal 3 32" xfId="1780"/>
    <cellStyle name="Normal 3 32 10" xfId="1781"/>
    <cellStyle name="Normal 3 32 11" xfId="1782"/>
    <cellStyle name="Normal 3 32 12" xfId="1783"/>
    <cellStyle name="Normal 3 32 13" xfId="1784"/>
    <cellStyle name="Normal 3 32 14" xfId="1785"/>
    <cellStyle name="Normal 3 32 15" xfId="1786"/>
    <cellStyle name="Normal 3 32 16" xfId="1787"/>
    <cellStyle name="Normal 3 32 17" xfId="1788"/>
    <cellStyle name="Normal 3 32 18" xfId="1789"/>
    <cellStyle name="Normal 3 32 19" xfId="1790"/>
    <cellStyle name="Normal 3 32 2" xfId="1791"/>
    <cellStyle name="Normal 3 32 20" xfId="1792"/>
    <cellStyle name="Normal 3 32 21" xfId="1793"/>
    <cellStyle name="Normal 3 32 22" xfId="1794"/>
    <cellStyle name="Normal 3 32 23" xfId="1795"/>
    <cellStyle name="Normal 3 32 3" xfId="1796"/>
    <cellStyle name="Normal 3 32 4" xfId="1797"/>
    <cellStyle name="Normal 3 32 5" xfId="1798"/>
    <cellStyle name="Normal 3 32 6" xfId="1799"/>
    <cellStyle name="Normal 3 32 7" xfId="1800"/>
    <cellStyle name="Normal 3 32 8" xfId="1801"/>
    <cellStyle name="Normal 3 32 9" xfId="1802"/>
    <cellStyle name="Normal 3 33" xfId="1803"/>
    <cellStyle name="Normal 3 33 10" xfId="1804"/>
    <cellStyle name="Normal 3 33 11" xfId="1805"/>
    <cellStyle name="Normal 3 33 12" xfId="1806"/>
    <cellStyle name="Normal 3 33 13" xfId="1807"/>
    <cellStyle name="Normal 3 33 14" xfId="1808"/>
    <cellStyle name="Normal 3 33 15" xfId="1809"/>
    <cellStyle name="Normal 3 33 16" xfId="1810"/>
    <cellStyle name="Normal 3 33 17" xfId="1811"/>
    <cellStyle name="Normal 3 33 18" xfId="1812"/>
    <cellStyle name="Normal 3 33 19" xfId="1813"/>
    <cellStyle name="Normal 3 33 2" xfId="1814"/>
    <cellStyle name="Normal 3 33 20" xfId="1815"/>
    <cellStyle name="Normal 3 33 21" xfId="1816"/>
    <cellStyle name="Normal 3 33 22" xfId="1817"/>
    <cellStyle name="Normal 3 33 23" xfId="1818"/>
    <cellStyle name="Normal 3 33 3" xfId="1819"/>
    <cellStyle name="Normal 3 33 4" xfId="1820"/>
    <cellStyle name="Normal 3 33 5" xfId="1821"/>
    <cellStyle name="Normal 3 33 6" xfId="1822"/>
    <cellStyle name="Normal 3 33 7" xfId="1823"/>
    <cellStyle name="Normal 3 33 8" xfId="1824"/>
    <cellStyle name="Normal 3 33 9" xfId="1825"/>
    <cellStyle name="Normal 3 34" xfId="1826"/>
    <cellStyle name="Normal 3 35" xfId="1827"/>
    <cellStyle name="Normal 3 36" xfId="1828"/>
    <cellStyle name="Normal 3 37" xfId="1829"/>
    <cellStyle name="Normal 3 38" xfId="1830"/>
    <cellStyle name="Normal 3 39" xfId="1831"/>
    <cellStyle name="Normal 3 4" xfId="128"/>
    <cellStyle name="Normal 3 4 10" xfId="1833"/>
    <cellStyle name="Normal 3 4 11" xfId="1834"/>
    <cellStyle name="Normal 3 4 12" xfId="1835"/>
    <cellStyle name="Normal 3 4 13" xfId="1836"/>
    <cellStyle name="Normal 3 4 14" xfId="1837"/>
    <cellStyle name="Normal 3 4 15" xfId="1838"/>
    <cellStyle name="Normal 3 4 16" xfId="1839"/>
    <cellStyle name="Normal 3 4 17" xfId="1840"/>
    <cellStyle name="Normal 3 4 18" xfId="1841"/>
    <cellStyle name="Normal 3 4 19" xfId="1842"/>
    <cellStyle name="Normal 3 4 2" xfId="1843"/>
    <cellStyle name="Normal 3 4 20" xfId="1844"/>
    <cellStyle name="Normal 3 4 21" xfId="1845"/>
    <cellStyle name="Normal 3 4 22" xfId="1846"/>
    <cellStyle name="Normal 3 4 23" xfId="1847"/>
    <cellStyle name="Normal 3 4 24" xfId="1832"/>
    <cellStyle name="Normal 3 4 3" xfId="1848"/>
    <cellStyle name="Normal 3 4 4" xfId="1849"/>
    <cellStyle name="Normal 3 4 5" xfId="1850"/>
    <cellStyle name="Normal 3 4 6" xfId="1851"/>
    <cellStyle name="Normal 3 4 7" xfId="1852"/>
    <cellStyle name="Normal 3 4 8" xfId="1853"/>
    <cellStyle name="Normal 3 4 9" xfId="1854"/>
    <cellStyle name="Normal 3 40" xfId="1855"/>
    <cellStyle name="Normal 3 41" xfId="1856"/>
    <cellStyle name="Normal 3 42" xfId="1857"/>
    <cellStyle name="Normal 3 43" xfId="1858"/>
    <cellStyle name="Normal 3 44" xfId="1859"/>
    <cellStyle name="Normal 3 45" xfId="1860"/>
    <cellStyle name="Normal 3 46" xfId="1861"/>
    <cellStyle name="Normal 3 47" xfId="1862"/>
    <cellStyle name="Normal 3 48" xfId="1863"/>
    <cellStyle name="Normal 3 49" xfId="1864"/>
    <cellStyle name="Normal 3 5" xfId="1865"/>
    <cellStyle name="Normal 3 5 10" xfId="1866"/>
    <cellStyle name="Normal 3 5 11" xfId="1867"/>
    <cellStyle name="Normal 3 5 12" xfId="1868"/>
    <cellStyle name="Normal 3 5 13" xfId="1869"/>
    <cellStyle name="Normal 3 5 14" xfId="1870"/>
    <cellStyle name="Normal 3 5 15" xfId="1871"/>
    <cellStyle name="Normal 3 5 16" xfId="1872"/>
    <cellStyle name="Normal 3 5 17" xfId="1873"/>
    <cellStyle name="Normal 3 5 18" xfId="1874"/>
    <cellStyle name="Normal 3 5 19" xfId="1875"/>
    <cellStyle name="Normal 3 5 2" xfId="1876"/>
    <cellStyle name="Normal 3 5 20" xfId="1877"/>
    <cellStyle name="Normal 3 5 21" xfId="1878"/>
    <cellStyle name="Normal 3 5 22" xfId="1879"/>
    <cellStyle name="Normal 3 5 23" xfId="1880"/>
    <cellStyle name="Normal 3 5 3" xfId="1881"/>
    <cellStyle name="Normal 3 5 4" xfId="1882"/>
    <cellStyle name="Normal 3 5 5" xfId="1883"/>
    <cellStyle name="Normal 3 5 6" xfId="1884"/>
    <cellStyle name="Normal 3 5 7" xfId="1885"/>
    <cellStyle name="Normal 3 5 8" xfId="1886"/>
    <cellStyle name="Normal 3 5 9" xfId="1887"/>
    <cellStyle name="Normal 3 50" xfId="1888"/>
    <cellStyle name="Normal 3 51" xfId="1889"/>
    <cellStyle name="Normal 3 52" xfId="1890"/>
    <cellStyle name="Normal 3 53" xfId="1891"/>
    <cellStyle name="Normal 3 54" xfId="1892"/>
    <cellStyle name="Normal 3 55" xfId="1893"/>
    <cellStyle name="Normal 3 56" xfId="1894"/>
    <cellStyle name="Normal 3 57" xfId="1895"/>
    <cellStyle name="Normal 3 58" xfId="1896"/>
    <cellStyle name="Normal 3 59" xfId="1897"/>
    <cellStyle name="Normal 3 6" xfId="1898"/>
    <cellStyle name="Normal 3 6 10" xfId="1899"/>
    <cellStyle name="Normal 3 6 11" xfId="1900"/>
    <cellStyle name="Normal 3 6 12" xfId="1901"/>
    <cellStyle name="Normal 3 6 13" xfId="1902"/>
    <cellStyle name="Normal 3 6 14" xfId="1903"/>
    <cellStyle name="Normal 3 6 15" xfId="1904"/>
    <cellStyle name="Normal 3 6 16" xfId="1905"/>
    <cellStyle name="Normal 3 6 17" xfId="1906"/>
    <cellStyle name="Normal 3 6 18" xfId="1907"/>
    <cellStyle name="Normal 3 6 19" xfId="1908"/>
    <cellStyle name="Normal 3 6 2" xfId="1909"/>
    <cellStyle name="Normal 3 6 20" xfId="1910"/>
    <cellStyle name="Normal 3 6 21" xfId="1911"/>
    <cellStyle name="Normal 3 6 22" xfId="1912"/>
    <cellStyle name="Normal 3 6 23" xfId="1913"/>
    <cellStyle name="Normal 3 6 3" xfId="1914"/>
    <cellStyle name="Normal 3 6 4" xfId="1915"/>
    <cellStyle name="Normal 3 6 5" xfId="1916"/>
    <cellStyle name="Normal 3 6 6" xfId="1917"/>
    <cellStyle name="Normal 3 6 7" xfId="1918"/>
    <cellStyle name="Normal 3 6 8" xfId="1919"/>
    <cellStyle name="Normal 3 6 9" xfId="1920"/>
    <cellStyle name="Normal 3 60" xfId="1921"/>
    <cellStyle name="Normal 3 61" xfId="1922"/>
    <cellStyle name="Normal 3 62" xfId="1923"/>
    <cellStyle name="Normal 3 63" xfId="1924"/>
    <cellStyle name="Normal 3 64" xfId="1925"/>
    <cellStyle name="Normal 3 65" xfId="1926"/>
    <cellStyle name="Normal 3 66" xfId="1927"/>
    <cellStyle name="Normal 3 66 2" xfId="1928"/>
    <cellStyle name="Normal 3 67" xfId="2103"/>
    <cellStyle name="Normal 3 7" xfId="1929"/>
    <cellStyle name="Normal 3 7 10" xfId="1930"/>
    <cellStyle name="Normal 3 7 11" xfId="1931"/>
    <cellStyle name="Normal 3 7 12" xfId="1932"/>
    <cellStyle name="Normal 3 7 13" xfId="1933"/>
    <cellStyle name="Normal 3 7 14" xfId="1934"/>
    <cellStyle name="Normal 3 7 15" xfId="1935"/>
    <cellStyle name="Normal 3 7 16" xfId="1936"/>
    <cellStyle name="Normal 3 7 17" xfId="1937"/>
    <cellStyle name="Normal 3 7 18" xfId="1938"/>
    <cellStyle name="Normal 3 7 19" xfId="1939"/>
    <cellStyle name="Normal 3 7 2" xfId="1940"/>
    <cellStyle name="Normal 3 7 20" xfId="1941"/>
    <cellStyle name="Normal 3 7 21" xfId="1942"/>
    <cellStyle name="Normal 3 7 22" xfId="1943"/>
    <cellStyle name="Normal 3 7 23" xfId="1944"/>
    <cellStyle name="Normal 3 7 3" xfId="1945"/>
    <cellStyle name="Normal 3 7 4" xfId="1946"/>
    <cellStyle name="Normal 3 7 5" xfId="1947"/>
    <cellStyle name="Normal 3 7 6" xfId="1948"/>
    <cellStyle name="Normal 3 7 7" xfId="1949"/>
    <cellStyle name="Normal 3 7 8" xfId="1950"/>
    <cellStyle name="Normal 3 7 9" xfId="1951"/>
    <cellStyle name="Normal 3 8" xfId="1952"/>
    <cellStyle name="Normal 3 8 10" xfId="1953"/>
    <cellStyle name="Normal 3 8 11" xfId="1954"/>
    <cellStyle name="Normal 3 8 12" xfId="1955"/>
    <cellStyle name="Normal 3 8 13" xfId="1956"/>
    <cellStyle name="Normal 3 8 14" xfId="1957"/>
    <cellStyle name="Normal 3 8 15" xfId="1958"/>
    <cellStyle name="Normal 3 8 16" xfId="1959"/>
    <cellStyle name="Normal 3 8 17" xfId="1960"/>
    <cellStyle name="Normal 3 8 18" xfId="1961"/>
    <cellStyle name="Normal 3 8 19" xfId="1962"/>
    <cellStyle name="Normal 3 8 2" xfId="1963"/>
    <cellStyle name="Normal 3 8 20" xfId="1964"/>
    <cellStyle name="Normal 3 8 21" xfId="1965"/>
    <cellStyle name="Normal 3 8 22" xfId="1966"/>
    <cellStyle name="Normal 3 8 23" xfId="1967"/>
    <cellStyle name="Normal 3 8 3" xfId="1968"/>
    <cellStyle name="Normal 3 8 4" xfId="1969"/>
    <cellStyle name="Normal 3 8 5" xfId="1970"/>
    <cellStyle name="Normal 3 8 6" xfId="1971"/>
    <cellStyle name="Normal 3 8 7" xfId="1972"/>
    <cellStyle name="Normal 3 8 8" xfId="1973"/>
    <cellStyle name="Normal 3 8 9" xfId="1974"/>
    <cellStyle name="Normal 3 9" xfId="1975"/>
    <cellStyle name="Normal 3 9 10" xfId="1976"/>
    <cellStyle name="Normal 3 9 11" xfId="1977"/>
    <cellStyle name="Normal 3 9 12" xfId="1978"/>
    <cellStyle name="Normal 3 9 13" xfId="1979"/>
    <cellStyle name="Normal 3 9 14" xfId="1980"/>
    <cellStyle name="Normal 3 9 15" xfId="1981"/>
    <cellStyle name="Normal 3 9 16" xfId="1982"/>
    <cellStyle name="Normal 3 9 17" xfId="1983"/>
    <cellStyle name="Normal 3 9 18" xfId="1984"/>
    <cellStyle name="Normal 3 9 19" xfId="1985"/>
    <cellStyle name="Normal 3 9 2" xfId="1986"/>
    <cellStyle name="Normal 3 9 20" xfId="1987"/>
    <cellStyle name="Normal 3 9 21" xfId="1988"/>
    <cellStyle name="Normal 3 9 22" xfId="1989"/>
    <cellStyle name="Normal 3 9 23" xfId="1990"/>
    <cellStyle name="Normal 3 9 3" xfId="1991"/>
    <cellStyle name="Normal 3 9 4" xfId="1992"/>
    <cellStyle name="Normal 3 9 5" xfId="1993"/>
    <cellStyle name="Normal 3 9 6" xfId="1994"/>
    <cellStyle name="Normal 3 9 7" xfId="1995"/>
    <cellStyle name="Normal 3 9 8" xfId="1996"/>
    <cellStyle name="Normal 3 9 9" xfId="1997"/>
    <cellStyle name="Normal 4" xfId="26"/>
    <cellStyle name="Normal 4 2" xfId="41"/>
    <cellStyle name="Normal 4 2 2" xfId="129"/>
    <cellStyle name="Normal 4 3" xfId="109"/>
    <cellStyle name="Normal 4 3 2" xfId="139"/>
    <cellStyle name="Normal 4 3 3" xfId="2096"/>
    <cellStyle name="Normal 4 4" xfId="124"/>
    <cellStyle name="Normal 4 4 2" xfId="2097"/>
    <cellStyle name="Normal 5" xfId="42"/>
    <cellStyle name="Normal 5 10" xfId="1999"/>
    <cellStyle name="Normal 5 11" xfId="2000"/>
    <cellStyle name="Normal 5 12" xfId="2001"/>
    <cellStyle name="Normal 5 13" xfId="2002"/>
    <cellStyle name="Normal 5 14" xfId="2003"/>
    <cellStyle name="Normal 5 15" xfId="2004"/>
    <cellStyle name="Normal 5 16" xfId="2005"/>
    <cellStyle name="Normal 5 17" xfId="2006"/>
    <cellStyle name="Normal 5 18" xfId="2007"/>
    <cellStyle name="Normal 5 19" xfId="2008"/>
    <cellStyle name="Normal 5 2" xfId="43"/>
    <cellStyle name="Normal 5 2 10" xfId="2010"/>
    <cellStyle name="Normal 5 2 11" xfId="2011"/>
    <cellStyle name="Normal 5 2 12" xfId="2012"/>
    <cellStyle name="Normal 5 2 13" xfId="2013"/>
    <cellStyle name="Normal 5 2 14" xfId="2014"/>
    <cellStyle name="Normal 5 2 15" xfId="2015"/>
    <cellStyle name="Normal 5 2 16" xfId="2016"/>
    <cellStyle name="Normal 5 2 17" xfId="2017"/>
    <cellStyle name="Normal 5 2 18" xfId="2018"/>
    <cellStyle name="Normal 5 2 19" xfId="2019"/>
    <cellStyle name="Normal 5 2 2" xfId="2020"/>
    <cellStyle name="Normal 5 2 20" xfId="2021"/>
    <cellStyle name="Normal 5 2 21" xfId="2022"/>
    <cellStyle name="Normal 5 2 22" xfId="2023"/>
    <cellStyle name="Normal 5 2 23" xfId="2024"/>
    <cellStyle name="Normal 5 2 24" xfId="2009"/>
    <cellStyle name="Normal 5 2 3" xfId="2025"/>
    <cellStyle name="Normal 5 2 4" xfId="2026"/>
    <cellStyle name="Normal 5 2 5" xfId="2027"/>
    <cellStyle name="Normal 5 2 6" xfId="2028"/>
    <cellStyle name="Normal 5 2 7" xfId="2029"/>
    <cellStyle name="Normal 5 2 8" xfId="2030"/>
    <cellStyle name="Normal 5 2 9" xfId="2031"/>
    <cellStyle name="Normal 5 20" xfId="2032"/>
    <cellStyle name="Normal 5 21" xfId="2033"/>
    <cellStyle name="Normal 5 22" xfId="2034"/>
    <cellStyle name="Normal 5 23" xfId="2035"/>
    <cellStyle name="Normal 5 24" xfId="2036"/>
    <cellStyle name="Normal 5 25" xfId="1998"/>
    <cellStyle name="Normal 5 3" xfId="130"/>
    <cellStyle name="Normal 5 3 2" xfId="2037"/>
    <cellStyle name="Normal 5 4" xfId="2038"/>
    <cellStyle name="Normal 5 5" xfId="2039"/>
    <cellStyle name="Normal 5 6" xfId="2040"/>
    <cellStyle name="Normal 5 7" xfId="2041"/>
    <cellStyle name="Normal 5 8" xfId="2042"/>
    <cellStyle name="Normal 5 9" xfId="2043"/>
    <cellStyle name="Normal 6" xfId="44"/>
    <cellStyle name="Normal 6 2" xfId="185"/>
    <cellStyle name="Normal 7" xfId="45"/>
    <cellStyle name="Normal 7 10" xfId="2045"/>
    <cellStyle name="Normal 7 11" xfId="2046"/>
    <cellStyle name="Normal 7 12" xfId="2047"/>
    <cellStyle name="Normal 7 13" xfId="2048"/>
    <cellStyle name="Normal 7 14" xfId="2049"/>
    <cellStyle name="Normal 7 15" xfId="2050"/>
    <cellStyle name="Normal 7 16" xfId="2051"/>
    <cellStyle name="Normal 7 17" xfId="2052"/>
    <cellStyle name="Normal 7 18" xfId="2053"/>
    <cellStyle name="Normal 7 19" xfId="2054"/>
    <cellStyle name="Normal 7 2" xfId="46"/>
    <cellStyle name="Normal 7 2 10" xfId="2056"/>
    <cellStyle name="Normal 7 2 11" xfId="2057"/>
    <cellStyle name="Normal 7 2 12" xfId="2058"/>
    <cellStyle name="Normal 7 2 13" xfId="2059"/>
    <cellStyle name="Normal 7 2 14" xfId="2060"/>
    <cellStyle name="Normal 7 2 15" xfId="2061"/>
    <cellStyle name="Normal 7 2 16" xfId="2062"/>
    <cellStyle name="Normal 7 2 17" xfId="2063"/>
    <cellStyle name="Normal 7 2 18" xfId="2064"/>
    <cellStyle name="Normal 7 2 19" xfId="2065"/>
    <cellStyle name="Normal 7 2 2" xfId="2066"/>
    <cellStyle name="Normal 7 2 20" xfId="2067"/>
    <cellStyle name="Normal 7 2 21" xfId="2068"/>
    <cellStyle name="Normal 7 2 22" xfId="2069"/>
    <cellStyle name="Normal 7 2 23" xfId="2070"/>
    <cellStyle name="Normal 7 2 24" xfId="2055"/>
    <cellStyle name="Normal 7 2 3" xfId="2071"/>
    <cellStyle name="Normal 7 2 4" xfId="2072"/>
    <cellStyle name="Normal 7 2 5" xfId="2073"/>
    <cellStyle name="Normal 7 2 6" xfId="2074"/>
    <cellStyle name="Normal 7 2 7" xfId="2075"/>
    <cellStyle name="Normal 7 2 8" xfId="2076"/>
    <cellStyle name="Normal 7 2 9" xfId="2077"/>
    <cellStyle name="Normal 7 20" xfId="2078"/>
    <cellStyle name="Normal 7 21" xfId="2079"/>
    <cellStyle name="Normal 7 22" xfId="2080"/>
    <cellStyle name="Normal 7 23" xfId="2081"/>
    <cellStyle name="Normal 7 24" xfId="2082"/>
    <cellStyle name="Normal 7 25" xfId="2044"/>
    <cellStyle name="Normal 7 3" xfId="2083"/>
    <cellStyle name="Normal 7 4" xfId="2084"/>
    <cellStyle name="Normal 7 5" xfId="2085"/>
    <cellStyle name="Normal 7 6" xfId="2086"/>
    <cellStyle name="Normal 7 7" xfId="2087"/>
    <cellStyle name="Normal 7 8" xfId="2088"/>
    <cellStyle name="Normal 7 9" xfId="2089"/>
    <cellStyle name="Normal 8" xfId="47"/>
    <cellStyle name="Normal 8 2" xfId="48"/>
    <cellStyle name="Normal 8 3" xfId="2090"/>
    <cellStyle name="Normal 9" xfId="49"/>
    <cellStyle name="Normal 9 2" xfId="110"/>
    <cellStyle name="Normal 9 2 2" xfId="2092"/>
    <cellStyle name="Normal 9 3" xfId="2091"/>
    <cellStyle name="Normal_prodraft-248-c_TEDWtest" xfId="135"/>
    <cellStyle name="Note" xfId="157" builtinId="10" customBuiltin="1"/>
    <cellStyle name="Note 2" xfId="111"/>
    <cellStyle name="Note 2 2" xfId="132"/>
    <cellStyle name="Note 2 3" xfId="141"/>
    <cellStyle name="Note 2 4" xfId="2093"/>
    <cellStyle name="Output" xfId="152" builtinId="21" customBuiltin="1"/>
    <cellStyle name="Output 2" xfId="112"/>
    <cellStyle name="Output 2 2" xfId="138"/>
    <cellStyle name="Output 2 3" xfId="142"/>
    <cellStyle name="Percent" xfId="2109" builtinId="5"/>
    <cellStyle name="Percent 2" xfId="21"/>
    <cellStyle name="Percent 2 2" xfId="22"/>
    <cellStyle name="Percent 2 2 2" xfId="50"/>
    <cellStyle name="Percent 2 2 2 2" xfId="113"/>
    <cellStyle name="Percent 2 2 3" xfId="114"/>
    <cellStyle name="Percent 3" xfId="23"/>
    <cellStyle name="Percent 3 2" xfId="51"/>
    <cellStyle name="Percent 3 2 2" xfId="115"/>
    <cellStyle name="Percent 3 3" xfId="116"/>
    <cellStyle name="Percent 3 4" xfId="131"/>
    <cellStyle name="Percent 4" xfId="52"/>
    <cellStyle name="Percent 4 2" xfId="53"/>
    <cellStyle name="Percent 4 3" xfId="2094"/>
    <cellStyle name="Percent 5" xfId="54"/>
    <cellStyle name="Percent 6" xfId="20"/>
    <cellStyle name="Title 2" xfId="117"/>
    <cellStyle name="Title 3" xfId="2104"/>
    <cellStyle name="Title 4" xfId="2095"/>
    <cellStyle name="Total" xfId="159" builtinId="25" customBuiltin="1"/>
    <cellStyle name="Total 2" xfId="118"/>
    <cellStyle name="Total 2 2" xfId="134"/>
    <cellStyle name="Total 2 3" xfId="143"/>
    <cellStyle name="Warning Text" xfId="156" builtinId="11" customBuiltin="1"/>
    <cellStyle name="Warning Text 2" xfId="119"/>
    <cellStyle name="표준_ENERGY CONSUMP" xfId="24"/>
    <cellStyle name="常规_海外市场服务网站资料操作BOM" xfId="25"/>
  </cellStyles>
  <dxfs count="0"/>
  <tableStyles count="0" defaultTableStyle="TableStyleMedium2" defaultPivotStyle="PivotStyleLight16"/>
  <colors>
    <mruColors>
      <color rgb="FF008080"/>
      <color rgb="FF00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3162300</xdr:colOff>
      <xdr:row>38</xdr:row>
      <xdr:rowOff>68580</xdr:rowOff>
    </xdr:to>
    <xdr:pic>
      <xdr:nvPicPr>
        <xdr:cNvPr id="2" name="Picture 1">
          <a:extLst>
            <a:ext uri="{FF2B5EF4-FFF2-40B4-BE49-F238E27FC236}">
              <a16:creationId xmlns:a16="http://schemas.microsoft.com/office/drawing/2014/main" id="{36B2D69B-6385-4104-A68E-87761E233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6920"/>
          <a:ext cx="6758940" cy="500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78440</xdr:colOff>
      <xdr:row>10</xdr:row>
      <xdr:rowOff>112059</xdr:rowOff>
    </xdr:from>
    <xdr:to>
      <xdr:col>15</xdr:col>
      <xdr:colOff>134471</xdr:colOff>
      <xdr:row>36</xdr:row>
      <xdr:rowOff>100853</xdr:rowOff>
    </xdr:to>
    <xdr:pic>
      <xdr:nvPicPr>
        <xdr:cNvPr id="3" name="Picture 2">
          <a:extLst>
            <a:ext uri="{FF2B5EF4-FFF2-40B4-BE49-F238E27FC236}">
              <a16:creationId xmlns:a16="http://schemas.microsoft.com/office/drawing/2014/main" id="{5833B367-01F2-4C5C-B2CA-025F547260E2}"/>
            </a:ext>
          </a:extLst>
        </xdr:cNvPr>
        <xdr:cNvPicPr/>
      </xdr:nvPicPr>
      <xdr:blipFill rotWithShape="1">
        <a:blip xmlns:r="http://schemas.openxmlformats.org/officeDocument/2006/relationships" r:embed="rId2"/>
        <a:srcRect l="60294" t="15819" r="10800" b="25997"/>
        <a:stretch/>
      </xdr:blipFill>
      <xdr:spPr bwMode="auto">
        <a:xfrm>
          <a:off x="6790764" y="2028265"/>
          <a:ext cx="7922560" cy="494179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barques\AppData\Local\Microsoft\Windows\INetCache\IE\9BY7RDRZ\ComCookingConvectionOven_v2_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barques\AppData\Local\Microsoft\Windows\INetCache\IE\JNZN7R78\EStarRoomACv1_0%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barques\AppData\Local\Microsoft\Windows\INetCache\IE\9BY7RDRZ\ResLighting_Bulbs_v4_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LC_QP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asureTable"/>
      <sheetName val="Measure_InputOutput"/>
      <sheetName val="LookupTable"/>
      <sheetName val="ValidationLists"/>
      <sheetName val="SavingsData&amp;Analysis"/>
      <sheetName val="FSTC Qualifying Equipment"/>
      <sheetName val="CostData&amp;Analysis"/>
    </sheetNames>
    <sheetDataSet>
      <sheetData sheetId="0"/>
      <sheetData sheetId="1"/>
      <sheetData sheetId="2"/>
      <sheetData sheetId="3"/>
      <sheetData sheetId="4">
        <row r="4">
          <cell r="F4" t="str">
            <v>Pre-Conditions</v>
          </cell>
        </row>
        <row r="5">
          <cell r="F5" t="str">
            <v>Current Practice</v>
          </cell>
        </row>
        <row r="6">
          <cell r="F6" t="str">
            <v>Pre-Conditions and Current Practice</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 Summary"/>
      <sheetName val="MeasureTable"/>
      <sheetName val="ProData"/>
      <sheetName val="WAC"/>
      <sheetName val="Window AC"/>
      <sheetName val="EER vs Price - 2005"/>
      <sheetName val="EER vs Price - 2006"/>
      <sheetName val="LookupTable"/>
      <sheetName val="Levelized Cost Note"/>
      <sheetName val="Bug List"/>
    </sheetNames>
    <sheetDataSet>
      <sheetData sheetId="0"/>
      <sheetData sheetId="1"/>
      <sheetData sheetId="2"/>
      <sheetData sheetId="3"/>
      <sheetData sheetId="4"/>
      <sheetData sheetId="5">
        <row r="17">
          <cell r="U17">
            <v>0</v>
          </cell>
        </row>
        <row r="18">
          <cell r="U18">
            <v>2.9129370195808867E-2</v>
          </cell>
        </row>
        <row r="19">
          <cell r="U19">
            <v>7.057436190202762</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ergySavingsMethodology"/>
      <sheetName val="NotesOnCategorization"/>
      <sheetName val="MeasureTable"/>
      <sheetName val="ProData"/>
      <sheetName val="Measure_InputOutput_ShortTerm"/>
      <sheetName val="Measure_InputOutput_LongTerm"/>
      <sheetName val="LookupTable"/>
      <sheetName val="Results"/>
      <sheetName val="Parameters"/>
      <sheetName val="ShelfAndSalesData"/>
      <sheetName val="LampCharacteristicsAndMktShare"/>
      <sheetName val="NonresParticipants"/>
      <sheetName val="EISA and IRL Standards"/>
      <sheetName val="RBSA HOUandConditionedSpace"/>
      <sheetName val="Mapping"/>
      <sheetName val="HVAC"/>
      <sheetName val="Lifetime"/>
      <sheetName val="EnergyStar QPL"/>
      <sheetName val="Baseline Replacement Model"/>
      <sheetName val="Baseline Replacement_StoredLamp"/>
      <sheetName val="SavingsAndCostAdjustments"/>
      <sheetName val="MeasureAssembly"/>
      <sheetName val="ValidationLists"/>
      <sheetName val="ProgramData"/>
      <sheetName val="EISA Compliance in CA"/>
      <sheetName val="ProCost 6th Plan Inputs"/>
      <sheetName val="Levelized Cost Note"/>
      <sheetName val="Proble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Program Tracking Data</v>
          </cell>
        </row>
        <row r="3">
          <cell r="A3" t="str">
            <v>In-Store Retail</v>
          </cell>
        </row>
        <row r="4">
          <cell r="A4" t="str">
            <v>Contractor and Project Invoices</v>
          </cell>
        </row>
        <row r="5">
          <cell r="A5" t="str">
            <v>Contractor Price Sheets</v>
          </cell>
        </row>
        <row r="6">
          <cell r="A6" t="str">
            <v>Online Retail</v>
          </cell>
        </row>
        <row r="7">
          <cell r="A7" t="str">
            <v>DOE / Other Standard Setting Process</v>
          </cell>
        </row>
        <row r="8">
          <cell r="A8" t="str">
            <v>Contractor Interview</v>
          </cell>
        </row>
        <row r="9">
          <cell r="A9" t="str">
            <v>Distributor Interview</v>
          </cell>
        </row>
        <row r="10">
          <cell r="A10" t="str">
            <v>Market Actor Interviews</v>
          </cell>
        </row>
        <row r="11">
          <cell r="A11" t="str">
            <v>Maintenance Staff Interviews</v>
          </cell>
        </row>
        <row r="12">
          <cell r="A12" t="str">
            <v>Professional Judgment</v>
          </cell>
        </row>
      </sheetData>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utdoor"/>
      <sheetName val="AllOutdoor_Analysis"/>
      <sheetName val="HighBay"/>
      <sheetName val="HighBay_Analysis"/>
      <sheetName val="YxZLuminaires"/>
      <sheetName val="YxZLuminaires_Analysis"/>
    </sheetNames>
    <sheetDataSet>
      <sheetData sheetId="0"/>
      <sheetData sheetId="1">
        <row r="3">
          <cell r="D3">
            <v>17.88</v>
          </cell>
          <cell r="E3">
            <v>70.930000000000007</v>
          </cell>
        </row>
        <row r="4">
          <cell r="F4">
            <v>19.05</v>
          </cell>
          <cell r="G4">
            <v>128.5</v>
          </cell>
        </row>
        <row r="5">
          <cell r="H5">
            <v>74.84</v>
          </cell>
          <cell r="I5">
            <v>199.5</v>
          </cell>
          <cell r="J5">
            <v>149.30000000000001</v>
          </cell>
          <cell r="K5">
            <v>303.8</v>
          </cell>
        </row>
        <row r="6">
          <cell r="L6">
            <v>238.7</v>
          </cell>
          <cell r="M6">
            <v>364.6</v>
          </cell>
        </row>
        <row r="7">
          <cell r="D7">
            <v>6.32</v>
          </cell>
          <cell r="E7">
            <v>205.43</v>
          </cell>
        </row>
        <row r="8">
          <cell r="F8">
            <v>17.16</v>
          </cell>
          <cell r="G8">
            <v>587</v>
          </cell>
        </row>
        <row r="9">
          <cell r="H9">
            <v>34.841999999999999</v>
          </cell>
          <cell r="I9">
            <v>267.39999999999998</v>
          </cell>
          <cell r="J9">
            <v>145.27000000000001</v>
          </cell>
          <cell r="K9">
            <v>856.35</v>
          </cell>
        </row>
        <row r="10">
          <cell r="L10">
            <v>234.2</v>
          </cell>
          <cell r="M10">
            <v>1298</v>
          </cell>
        </row>
        <row r="13">
          <cell r="D13">
            <v>21.22</v>
          </cell>
          <cell r="E13">
            <v>136.66999999999999</v>
          </cell>
        </row>
        <row r="14">
          <cell r="D14">
            <v>10.53</v>
          </cell>
          <cell r="E14">
            <v>505.9</v>
          </cell>
        </row>
      </sheetData>
      <sheetData sheetId="2"/>
      <sheetData sheetId="3">
        <row r="3">
          <cell r="B3">
            <v>40.92</v>
          </cell>
          <cell r="C3">
            <v>126.4</v>
          </cell>
          <cell r="D3">
            <v>15.9</v>
          </cell>
          <cell r="E3">
            <v>250.5</v>
          </cell>
          <cell r="F3">
            <v>106.9</v>
          </cell>
          <cell r="G3">
            <v>367.3</v>
          </cell>
          <cell r="H3">
            <v>186.5</v>
          </cell>
          <cell r="I3">
            <v>1298</v>
          </cell>
        </row>
        <row r="6">
          <cell r="B6">
            <v>32.363</v>
          </cell>
          <cell r="C6">
            <v>438.5</v>
          </cell>
        </row>
      </sheetData>
      <sheetData sheetId="4"/>
      <sheetData sheetId="5">
        <row r="3">
          <cell r="C3">
            <v>11.69</v>
          </cell>
          <cell r="D3">
            <v>300.3</v>
          </cell>
        </row>
        <row r="4">
          <cell r="C4">
            <v>12.97</v>
          </cell>
          <cell r="D4">
            <v>80.849999999999994</v>
          </cell>
        </row>
        <row r="5">
          <cell r="C5">
            <v>10.872999999999999</v>
          </cell>
          <cell r="D5">
            <v>93.26</v>
          </cell>
        </row>
        <row r="6">
          <cell r="C6">
            <v>42.94</v>
          </cell>
          <cell r="D6">
            <v>47.6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hyperlink" Target="http://www.neep.org/file/1080/download?token=1ZtjiFKq"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sheetPr>
  <dimension ref="A1:L32"/>
  <sheetViews>
    <sheetView zoomScale="55" zoomScaleNormal="55" workbookViewId="0">
      <pane xSplit="1" ySplit="2" topLeftCell="B3" activePane="bottomRight" state="frozen"/>
      <selection sqref="A1:H1"/>
      <selection pane="topRight" sqref="A1:H1"/>
      <selection pane="bottomLeft" sqref="A1:H1"/>
      <selection pane="bottomRight" sqref="A1:A2"/>
    </sheetView>
  </sheetViews>
  <sheetFormatPr defaultColWidth="9.109375" defaultRowHeight="14.4" x14ac:dyDescent="0.3"/>
  <cols>
    <col min="1" max="1" width="30.88671875" style="6" customWidth="1"/>
    <col min="2" max="2" width="49.109375" style="6" customWidth="1"/>
    <col min="3" max="3" width="68.33203125" style="6" customWidth="1"/>
    <col min="4" max="4" width="52.5546875" style="6" customWidth="1"/>
    <col min="5" max="5" width="48.33203125" style="6" customWidth="1"/>
    <col min="6" max="6" width="46.5546875" style="6" customWidth="1"/>
    <col min="7" max="8" width="59.5546875" style="6" customWidth="1"/>
    <col min="9" max="9" width="36.33203125" style="6" customWidth="1"/>
    <col min="10" max="10" width="31" style="6" customWidth="1"/>
    <col min="11" max="11" width="27.33203125" style="6" customWidth="1"/>
    <col min="12" max="12" width="67.88671875" style="6" customWidth="1"/>
    <col min="13" max="16384" width="9.109375" style="6"/>
  </cols>
  <sheetData>
    <row r="1" spans="1:12" ht="42.6" customHeight="1" x14ac:dyDescent="0.6">
      <c r="A1" s="621" t="s">
        <v>922</v>
      </c>
      <c r="B1" s="620" t="s">
        <v>966</v>
      </c>
      <c r="C1" s="631" t="s">
        <v>976</v>
      </c>
      <c r="D1" s="632"/>
      <c r="E1" s="633"/>
      <c r="F1" s="618" t="s">
        <v>962</v>
      </c>
      <c r="G1" s="619"/>
      <c r="H1" s="620"/>
      <c r="I1" s="598" t="s">
        <v>974</v>
      </c>
      <c r="J1" s="422"/>
      <c r="K1" s="422"/>
      <c r="L1" s="423"/>
    </row>
    <row r="2" spans="1:12" ht="114" customHeight="1" thickBot="1" x14ac:dyDescent="0.6">
      <c r="A2" s="622"/>
      <c r="B2" s="624"/>
      <c r="C2" s="602" t="s">
        <v>977</v>
      </c>
      <c r="D2" s="603" t="s">
        <v>967</v>
      </c>
      <c r="E2" s="604" t="s">
        <v>968</v>
      </c>
      <c r="F2" s="333" t="s">
        <v>960</v>
      </c>
      <c r="G2" s="332" t="s">
        <v>963</v>
      </c>
      <c r="H2" s="334" t="s">
        <v>964</v>
      </c>
      <c r="I2" s="333" t="s">
        <v>168</v>
      </c>
      <c r="J2" s="332" t="s">
        <v>975</v>
      </c>
      <c r="K2" s="332" t="s">
        <v>16</v>
      </c>
      <c r="L2" s="334" t="s">
        <v>0</v>
      </c>
    </row>
    <row r="3" spans="1:12" ht="210" x14ac:dyDescent="0.3">
      <c r="A3" s="605" t="s">
        <v>224</v>
      </c>
      <c r="B3" s="606" t="s">
        <v>961</v>
      </c>
      <c r="C3" s="605" t="s">
        <v>988</v>
      </c>
      <c r="D3" s="607" t="s">
        <v>961</v>
      </c>
      <c r="E3" s="606" t="s">
        <v>969</v>
      </c>
      <c r="F3" s="599" t="s">
        <v>897</v>
      </c>
      <c r="G3" s="600" t="s">
        <v>219</v>
      </c>
      <c r="H3" s="601" t="s">
        <v>449</v>
      </c>
      <c r="I3" s="585" t="s">
        <v>439</v>
      </c>
      <c r="J3" s="586" t="s">
        <v>1</v>
      </c>
      <c r="K3" s="586"/>
      <c r="L3" s="587" t="s">
        <v>1002</v>
      </c>
    </row>
    <row r="4" spans="1:12" ht="98.4" customHeight="1" x14ac:dyDescent="0.3">
      <c r="A4" s="608" t="s">
        <v>538</v>
      </c>
      <c r="B4" s="609" t="s">
        <v>996</v>
      </c>
      <c r="C4" s="608" t="s">
        <v>997</v>
      </c>
      <c r="D4" s="610" t="s">
        <v>965</v>
      </c>
      <c r="E4" s="611" t="s">
        <v>1</v>
      </c>
      <c r="F4" s="562" t="s">
        <v>623</v>
      </c>
      <c r="G4" s="335" t="s">
        <v>989</v>
      </c>
      <c r="H4" s="336" t="s">
        <v>990</v>
      </c>
      <c r="I4" s="588"/>
      <c r="J4" s="589"/>
      <c r="K4" s="589"/>
      <c r="L4" s="590"/>
    </row>
    <row r="5" spans="1:12" ht="84" x14ac:dyDescent="0.3">
      <c r="A5" s="608" t="s">
        <v>10</v>
      </c>
      <c r="B5" s="623" t="s">
        <v>970</v>
      </c>
      <c r="C5" s="627" t="s">
        <v>971</v>
      </c>
      <c r="D5" s="628" t="s">
        <v>972</v>
      </c>
      <c r="E5" s="630" t="s">
        <v>973</v>
      </c>
      <c r="F5" s="629" t="s">
        <v>928</v>
      </c>
      <c r="G5" s="626" t="s">
        <v>12</v>
      </c>
      <c r="H5" s="625" t="s">
        <v>441</v>
      </c>
      <c r="I5" s="591" t="s">
        <v>3</v>
      </c>
      <c r="J5" s="597">
        <f>218.287204301075*Inflation!$D$3</f>
        <v>235.35585928761677</v>
      </c>
      <c r="K5" s="592"/>
      <c r="L5" s="590" t="s">
        <v>26</v>
      </c>
    </row>
    <row r="6" spans="1:12" ht="84" x14ac:dyDescent="0.3">
      <c r="A6" s="608" t="s">
        <v>9</v>
      </c>
      <c r="B6" s="623"/>
      <c r="C6" s="627"/>
      <c r="D6" s="628"/>
      <c r="E6" s="630"/>
      <c r="F6" s="629"/>
      <c r="G6" s="626"/>
      <c r="H6" s="625"/>
      <c r="I6" s="593" t="s">
        <v>945</v>
      </c>
      <c r="J6" s="597">
        <f>249.86924516129*Inflation!$D$3</f>
        <v>269.40741255438746</v>
      </c>
      <c r="K6" s="592"/>
      <c r="L6" s="590" t="s">
        <v>27</v>
      </c>
    </row>
    <row r="7" spans="1:12" ht="189" x14ac:dyDescent="0.3">
      <c r="A7" s="608" t="s">
        <v>223</v>
      </c>
      <c r="B7" s="611" t="s">
        <v>961</v>
      </c>
      <c r="C7" s="608" t="s">
        <v>923</v>
      </c>
      <c r="D7" s="612" t="s">
        <v>961</v>
      </c>
      <c r="E7" s="609" t="s">
        <v>944</v>
      </c>
      <c r="F7" s="562" t="s">
        <v>959</v>
      </c>
      <c r="G7" s="337" t="s">
        <v>216</v>
      </c>
      <c r="H7" s="338" t="s">
        <v>443</v>
      </c>
      <c r="I7" s="593" t="s">
        <v>944</v>
      </c>
      <c r="J7" s="589" t="s">
        <v>1</v>
      </c>
      <c r="K7" s="589"/>
      <c r="L7" s="590" t="s">
        <v>1002</v>
      </c>
    </row>
    <row r="8" spans="1:12" ht="84" x14ac:dyDescent="0.3">
      <c r="A8" s="608" t="s">
        <v>225</v>
      </c>
      <c r="B8" s="611" t="s">
        <v>961</v>
      </c>
      <c r="C8" s="608" t="s">
        <v>923</v>
      </c>
      <c r="D8" s="612" t="s">
        <v>961</v>
      </c>
      <c r="E8" s="609" t="s">
        <v>944</v>
      </c>
      <c r="F8" s="562" t="s">
        <v>936</v>
      </c>
      <c r="G8" s="335" t="s">
        <v>221</v>
      </c>
      <c r="H8" s="336" t="s">
        <v>444</v>
      </c>
      <c r="I8" s="588" t="s">
        <v>1</v>
      </c>
      <c r="J8" s="589" t="s">
        <v>1</v>
      </c>
      <c r="K8" s="589"/>
      <c r="L8" s="590" t="s">
        <v>1002</v>
      </c>
    </row>
    <row r="9" spans="1:12" ht="189" x14ac:dyDescent="0.3">
      <c r="A9" s="608" t="s">
        <v>218</v>
      </c>
      <c r="B9" s="611" t="s">
        <v>961</v>
      </c>
      <c r="C9" s="608" t="s">
        <v>924</v>
      </c>
      <c r="D9" s="612" t="s">
        <v>961</v>
      </c>
      <c r="E9" s="609" t="s">
        <v>981</v>
      </c>
      <c r="F9" s="562" t="s">
        <v>937</v>
      </c>
      <c r="G9" s="561" t="s">
        <v>217</v>
      </c>
      <c r="H9" s="560" t="s">
        <v>448</v>
      </c>
      <c r="I9" s="593" t="s">
        <v>946</v>
      </c>
      <c r="J9" s="589" t="s">
        <v>1</v>
      </c>
      <c r="K9" s="589"/>
      <c r="L9" s="590" t="s">
        <v>1002</v>
      </c>
    </row>
    <row r="10" spans="1:12" ht="147" x14ac:dyDescent="0.3">
      <c r="A10" s="613" t="s">
        <v>440</v>
      </c>
      <c r="B10" s="609" t="s">
        <v>821</v>
      </c>
      <c r="C10" s="613" t="s">
        <v>985</v>
      </c>
      <c r="D10" s="610" t="s">
        <v>947</v>
      </c>
      <c r="E10" s="609" t="s">
        <v>947</v>
      </c>
      <c r="F10" s="562"/>
      <c r="G10" s="561" t="s">
        <v>192</v>
      </c>
      <c r="H10" s="560" t="s">
        <v>442</v>
      </c>
      <c r="I10" s="593" t="s">
        <v>947</v>
      </c>
      <c r="J10" s="589" t="s">
        <v>1</v>
      </c>
      <c r="K10" s="589"/>
      <c r="L10" s="590" t="s">
        <v>1002</v>
      </c>
    </row>
    <row r="11" spans="1:12" ht="195" customHeight="1" x14ac:dyDescent="0.3">
      <c r="A11" s="608" t="s">
        <v>222</v>
      </c>
      <c r="B11" s="609" t="s">
        <v>622</v>
      </c>
      <c r="C11" s="613" t="s">
        <v>1028</v>
      </c>
      <c r="D11" s="610" t="s">
        <v>984</v>
      </c>
      <c r="E11" s="609" t="s">
        <v>984</v>
      </c>
      <c r="F11" s="562"/>
      <c r="G11" s="337" t="s">
        <v>447</v>
      </c>
      <c r="H11" s="338" t="s">
        <v>497</v>
      </c>
      <c r="I11" s="593" t="s">
        <v>649</v>
      </c>
      <c r="J11" s="589" t="s">
        <v>1</v>
      </c>
      <c r="K11" s="589"/>
      <c r="L11" s="594" t="s">
        <v>1023</v>
      </c>
    </row>
    <row r="12" spans="1:12" ht="210" x14ac:dyDescent="0.3">
      <c r="A12" s="613" t="s">
        <v>226</v>
      </c>
      <c r="B12" s="609" t="s">
        <v>822</v>
      </c>
      <c r="C12" s="613" t="s">
        <v>615</v>
      </c>
      <c r="D12" s="610" t="s">
        <v>948</v>
      </c>
      <c r="E12" s="609" t="s">
        <v>948</v>
      </c>
      <c r="F12" s="562" t="s">
        <v>938</v>
      </c>
      <c r="G12" s="339" t="s">
        <v>229</v>
      </c>
      <c r="H12" s="340" t="s">
        <v>445</v>
      </c>
      <c r="I12" s="593" t="s">
        <v>948</v>
      </c>
      <c r="J12" s="589" t="s">
        <v>1</v>
      </c>
      <c r="K12" s="589"/>
      <c r="L12" s="590" t="s">
        <v>1002</v>
      </c>
    </row>
    <row r="13" spans="1:12" ht="189" x14ac:dyDescent="0.3">
      <c r="A13" s="613" t="s">
        <v>230</v>
      </c>
      <c r="B13" s="609" t="s">
        <v>3</v>
      </c>
      <c r="C13" s="613" t="s">
        <v>939</v>
      </c>
      <c r="D13" s="610" t="s">
        <v>1</v>
      </c>
      <c r="E13" s="609" t="s">
        <v>1</v>
      </c>
      <c r="F13" s="562"/>
      <c r="G13" s="561" t="s">
        <v>231</v>
      </c>
      <c r="H13" s="560" t="s">
        <v>446</v>
      </c>
      <c r="I13" s="593" t="s">
        <v>439</v>
      </c>
      <c r="J13" s="589" t="s">
        <v>1</v>
      </c>
      <c r="K13" s="589"/>
      <c r="L13" s="590"/>
    </row>
    <row r="14" spans="1:12" ht="105.6" thickBot="1" x14ac:dyDescent="0.35">
      <c r="A14" s="614" t="s">
        <v>993</v>
      </c>
      <c r="B14" s="615" t="s">
        <v>994</v>
      </c>
      <c r="C14" s="614" t="s">
        <v>995</v>
      </c>
      <c r="D14" s="616" t="s">
        <v>1</v>
      </c>
      <c r="E14" s="615" t="s">
        <v>998</v>
      </c>
      <c r="F14" s="495" t="s">
        <v>992</v>
      </c>
      <c r="G14" s="595" t="s">
        <v>991</v>
      </c>
      <c r="H14" s="596"/>
      <c r="I14" s="495"/>
      <c r="J14" s="595"/>
      <c r="K14" s="595"/>
      <c r="L14" s="596"/>
    </row>
    <row r="17" spans="1:9" x14ac:dyDescent="0.3">
      <c r="G17"/>
      <c r="H17"/>
      <c r="I17"/>
    </row>
    <row r="18" spans="1:9" x14ac:dyDescent="0.3">
      <c r="A18" s="3" t="s">
        <v>28</v>
      </c>
      <c r="B18" s="3"/>
      <c r="C18" s="3"/>
      <c r="D18" s="3"/>
      <c r="E18" s="3"/>
      <c r="F18" s="3"/>
      <c r="G18"/>
      <c r="H18"/>
      <c r="I18"/>
    </row>
    <row r="19" spans="1:9" x14ac:dyDescent="0.3">
      <c r="G19"/>
      <c r="H19"/>
      <c r="I19"/>
    </row>
    <row r="20" spans="1:9" x14ac:dyDescent="0.3">
      <c r="G20"/>
      <c r="H20"/>
      <c r="I20"/>
    </row>
    <row r="21" spans="1:9" x14ac:dyDescent="0.3">
      <c r="G21" s="71"/>
    </row>
    <row r="22" spans="1:9" ht="15" customHeight="1" x14ac:dyDescent="0.3">
      <c r="G22" s="71"/>
    </row>
    <row r="23" spans="1:9" ht="15" customHeight="1" x14ac:dyDescent="0.3">
      <c r="G23" s="71"/>
    </row>
    <row r="24" spans="1:9" ht="15" customHeight="1" x14ac:dyDescent="0.3">
      <c r="G24" s="71"/>
    </row>
    <row r="25" spans="1:9" ht="15" customHeight="1" x14ac:dyDescent="0.3">
      <c r="G25" s="71"/>
    </row>
    <row r="26" spans="1:9" ht="15" customHeight="1" x14ac:dyDescent="0.3">
      <c r="G26" s="71"/>
    </row>
    <row r="27" spans="1:9" ht="15" customHeight="1" x14ac:dyDescent="0.3">
      <c r="G27" s="71"/>
    </row>
    <row r="28" spans="1:9" ht="15.75" customHeight="1" x14ac:dyDescent="0.3">
      <c r="G28" s="71"/>
    </row>
    <row r="29" spans="1:9" ht="15" customHeight="1" x14ac:dyDescent="0.3">
      <c r="G29" s="71"/>
    </row>
    <row r="30" spans="1:9" ht="15" customHeight="1" x14ac:dyDescent="0.3">
      <c r="G30" s="71"/>
    </row>
    <row r="31" spans="1:9" ht="15" customHeight="1" x14ac:dyDescent="0.3">
      <c r="G31" s="71"/>
    </row>
    <row r="32" spans="1:9" ht="15.75" customHeight="1" x14ac:dyDescent="0.3">
      <c r="G32" s="71"/>
    </row>
  </sheetData>
  <mergeCells count="11">
    <mergeCell ref="F1:H1"/>
    <mergeCell ref="A1:A2"/>
    <mergeCell ref="B5:B6"/>
    <mergeCell ref="B1:B2"/>
    <mergeCell ref="H5:H6"/>
    <mergeCell ref="G5:G6"/>
    <mergeCell ref="C5:C6"/>
    <mergeCell ref="D5:D6"/>
    <mergeCell ref="F5:F6"/>
    <mergeCell ref="E5:E6"/>
    <mergeCell ref="C1:E1"/>
  </mergeCells>
  <hyperlinks>
    <hyperlink ref="I10" location="Itron_CA_IOU_RcssdDwnLght_LED!A1" display="See Itron_CA_IOU_RcssdDwnLght_LED"/>
    <hyperlink ref="G11" location="MidA_TRM_Res_SB_LED_IMC!A1" display="See MidA TRM Residentail Medium Screw Base LED IMC"/>
    <hyperlink ref="I11" location="CA_IOU_ScrewBasedLED!A73" display="See CA_IOU_ScrewBasedLED"/>
    <hyperlink ref="G7" location="MidA_OD_Area_Road_LED_IMC!A1" display="See MidA TRM Outdoor Area and Road LED IMC"/>
    <hyperlink ref="I7" location="Itron_CA_IOU_OutdoorLED!A1" display="See Itron_CA_IOU_OutdoorLED"/>
    <hyperlink ref="I9" location="Itron_CA_IOU_LEDHighBay!A1" display="See Itron_CA_IOU_LEDHighBay"/>
    <hyperlink ref="I3" location="CA_IOU_LED!A56" display="See CA_IOU_LED"/>
    <hyperlink ref="G12" location="MidA_LED_Ext_Luminaire_IMC!A1" display="See MidA TRM Exterior LED Flood and Spot Luminaires"/>
    <hyperlink ref="I13" location="CA_IOU_LED!A1" display="See CA_IOU_LED"/>
    <hyperlink ref="A18" location="TRM_MCS_measures!A1" display="Return To TRM_MCS_Measures"/>
    <hyperlink ref="I6" location="Itron_CA_IOU_RefCaseLED!A1" display="See Itron CA IOU LED Refrigerator Case Lighting"/>
    <hyperlink ref="I12" location="Itron_CA_IOU_LEDFlood!A1" display="See Itron_CA_IOU_LEDFlood"/>
  </hyperlink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5"/>
  <sheetViews>
    <sheetView workbookViewId="0">
      <selection activeCell="B10" sqref="B10"/>
    </sheetView>
  </sheetViews>
  <sheetFormatPr defaultRowHeight="14.4" x14ac:dyDescent="0.3"/>
  <cols>
    <col min="1" max="1" width="36.109375" customWidth="1"/>
    <col min="2" max="2" width="16.5546875" style="69" customWidth="1"/>
    <col min="3" max="3" width="33.109375" style="69" customWidth="1"/>
    <col min="4" max="4" width="14.33203125" customWidth="1"/>
    <col min="5" max="5" width="17.44140625" customWidth="1"/>
    <col min="6" max="6" width="26.5546875" customWidth="1"/>
    <col min="7" max="7" width="12.109375" customWidth="1"/>
    <col min="8" max="8" width="13.5546875" customWidth="1"/>
    <col min="9" max="9" width="13.6640625" customWidth="1"/>
    <col min="10" max="10" width="27.5546875" bestFit="1" customWidth="1"/>
    <col min="11" max="11" width="12.88671875" customWidth="1"/>
    <col min="13" max="13" width="28.6640625" bestFit="1" customWidth="1"/>
    <col min="15" max="15" width="3.109375" customWidth="1"/>
    <col min="16" max="16" width="14.6640625" bestFit="1" customWidth="1"/>
    <col min="17" max="17" width="9.6640625" customWidth="1"/>
  </cols>
  <sheetData>
    <row r="1" spans="1:18" x14ac:dyDescent="0.3">
      <c r="E1" s="69"/>
      <c r="F1" s="69"/>
      <c r="G1" s="69"/>
      <c r="H1" s="69"/>
      <c r="I1" s="69"/>
      <c r="J1" s="69"/>
      <c r="K1" s="69"/>
      <c r="L1" s="69"/>
      <c r="M1" s="69"/>
      <c r="N1" s="69"/>
      <c r="O1" s="69"/>
      <c r="P1" s="69"/>
      <c r="Q1" s="69"/>
      <c r="R1" s="69"/>
    </row>
    <row r="2" spans="1:18" ht="15.6" x14ac:dyDescent="0.3">
      <c r="E2" s="83" t="s">
        <v>469</v>
      </c>
      <c r="F2" s="72"/>
      <c r="G2" s="72"/>
      <c r="H2" s="72"/>
      <c r="I2" s="72"/>
      <c r="J2" s="72"/>
      <c r="K2" s="72"/>
      <c r="L2" s="69"/>
      <c r="M2" s="69"/>
      <c r="N2" s="69"/>
      <c r="O2" s="69"/>
      <c r="P2" s="69"/>
      <c r="Q2" s="69"/>
      <c r="R2" s="69"/>
    </row>
    <row r="3" spans="1:18" ht="51.75" customHeight="1" x14ac:dyDescent="0.3">
      <c r="A3" s="796" t="s">
        <v>496</v>
      </c>
      <c r="B3" s="796"/>
      <c r="C3" s="92" t="s">
        <v>491</v>
      </c>
      <c r="E3" s="73" t="s">
        <v>470</v>
      </c>
      <c r="F3" s="73" t="s">
        <v>471</v>
      </c>
      <c r="G3" s="73" t="s">
        <v>451</v>
      </c>
      <c r="H3" s="73" t="s">
        <v>452</v>
      </c>
      <c r="I3" s="74" t="s">
        <v>453</v>
      </c>
      <c r="J3" s="74" t="s">
        <v>454</v>
      </c>
      <c r="K3" s="74" t="s">
        <v>455</v>
      </c>
      <c r="L3" s="69"/>
      <c r="M3" s="75" t="s">
        <v>456</v>
      </c>
      <c r="N3" s="76"/>
      <c r="O3" s="69"/>
      <c r="P3" s="795" t="s">
        <v>626</v>
      </c>
      <c r="Q3" s="795"/>
      <c r="R3" s="69"/>
    </row>
    <row r="4" spans="1:18" ht="43.2" x14ac:dyDescent="0.3">
      <c r="A4" s="89" t="s">
        <v>495</v>
      </c>
      <c r="B4" s="89">
        <f>N15</f>
        <v>0.82009857825286148</v>
      </c>
      <c r="C4" s="91" t="s">
        <v>612</v>
      </c>
      <c r="E4" s="84">
        <v>1</v>
      </c>
      <c r="F4" s="85" t="s">
        <v>472</v>
      </c>
      <c r="G4" s="77">
        <v>0.94</v>
      </c>
      <c r="H4" s="77">
        <v>1.0169999999999999</v>
      </c>
      <c r="I4" s="78">
        <v>3.2678012053238359E-3</v>
      </c>
      <c r="J4" s="78">
        <f>G4*I4</f>
        <v>3.0717331330044058E-3</v>
      </c>
      <c r="K4" s="78">
        <f>H4*I4</f>
        <v>3.3233538258143408E-3</v>
      </c>
      <c r="L4" s="69"/>
      <c r="M4" s="79" t="s">
        <v>457</v>
      </c>
      <c r="N4" s="79">
        <v>0.82299999999999995</v>
      </c>
      <c r="O4" s="69"/>
      <c r="P4" s="79" t="s">
        <v>457</v>
      </c>
      <c r="Q4" s="98">
        <v>38394</v>
      </c>
      <c r="R4" s="69"/>
    </row>
    <row r="5" spans="1:18" ht="28.8" x14ac:dyDescent="0.3">
      <c r="A5" s="89" t="s">
        <v>490</v>
      </c>
      <c r="B5" s="89">
        <f>1/K20*B4</f>
        <v>0.70817503367116896</v>
      </c>
      <c r="C5" s="90" t="s">
        <v>613</v>
      </c>
      <c r="E5" s="86">
        <v>2</v>
      </c>
      <c r="F5" s="85" t="s">
        <v>473</v>
      </c>
      <c r="G5" s="77">
        <v>0.94</v>
      </c>
      <c r="H5" s="77">
        <v>1.653</v>
      </c>
      <c r="I5" s="78">
        <v>9.6951641438708762E-3</v>
      </c>
      <c r="J5" s="78">
        <f t="shared" ref="J5:J19" si="0">G5*I5</f>
        <v>9.1134542952386235E-3</v>
      </c>
      <c r="K5" s="78">
        <f t="shared" ref="K5:K19" si="1">H5*I5</f>
        <v>1.602610632981856E-2</v>
      </c>
      <c r="L5" s="69"/>
      <c r="M5" s="5" t="s">
        <v>458</v>
      </c>
      <c r="N5" s="5">
        <v>0.82399999999999995</v>
      </c>
      <c r="O5" s="69"/>
      <c r="P5" s="5" t="s">
        <v>458</v>
      </c>
      <c r="Q5" s="98">
        <v>620961</v>
      </c>
      <c r="R5" s="69"/>
    </row>
    <row r="6" spans="1:18" x14ac:dyDescent="0.3">
      <c r="C6" s="5"/>
      <c r="E6" s="86">
        <v>3</v>
      </c>
      <c r="F6" s="85" t="s">
        <v>474</v>
      </c>
      <c r="G6" s="77">
        <v>1.0009999999999999</v>
      </c>
      <c r="H6" s="77">
        <v>1.673</v>
      </c>
      <c r="I6" s="78">
        <v>3.0273549494431465E-2</v>
      </c>
      <c r="J6" s="78">
        <f t="shared" si="0"/>
        <v>3.0303823043925891E-2</v>
      </c>
      <c r="K6" s="78">
        <f t="shared" si="1"/>
        <v>5.0647648304183841E-2</v>
      </c>
      <c r="L6" s="69"/>
      <c r="M6" s="5" t="s">
        <v>459</v>
      </c>
      <c r="N6" s="5">
        <v>0.87</v>
      </c>
      <c r="O6" s="69"/>
      <c r="P6" s="5" t="s">
        <v>459</v>
      </c>
      <c r="Q6" s="98">
        <v>30413</v>
      </c>
      <c r="R6" s="69"/>
    </row>
    <row r="7" spans="1:18" x14ac:dyDescent="0.3">
      <c r="E7" s="86">
        <v>4</v>
      </c>
      <c r="F7" s="85" t="s">
        <v>475</v>
      </c>
      <c r="G7" s="77">
        <v>1</v>
      </c>
      <c r="H7" s="77">
        <v>1.448</v>
      </c>
      <c r="I7" s="78">
        <v>1.528624830392613E-2</v>
      </c>
      <c r="J7" s="78">
        <f t="shared" si="0"/>
        <v>1.528624830392613E-2</v>
      </c>
      <c r="K7" s="78">
        <f t="shared" si="1"/>
        <v>2.2134487544085035E-2</v>
      </c>
      <c r="L7" s="69"/>
      <c r="M7" s="5" t="s">
        <v>460</v>
      </c>
      <c r="N7" s="5">
        <v>0.72799999999999998</v>
      </c>
      <c r="O7" s="69"/>
      <c r="P7" s="5" t="s">
        <v>460</v>
      </c>
      <c r="Q7" s="98">
        <v>20859</v>
      </c>
      <c r="R7" s="69"/>
    </row>
    <row r="8" spans="1:18" ht="17.25" customHeight="1" x14ac:dyDescent="0.3">
      <c r="A8" s="796" t="s">
        <v>501</v>
      </c>
      <c r="B8" s="796"/>
      <c r="C8" s="92" t="s">
        <v>491</v>
      </c>
      <c r="E8" s="86">
        <v>5</v>
      </c>
      <c r="F8" s="85" t="s">
        <v>476</v>
      </c>
      <c r="G8" s="77">
        <v>0.94</v>
      </c>
      <c r="H8" s="77">
        <v>1.0549999999999999</v>
      </c>
      <c r="I8" s="78">
        <v>4.3295788840252714E-4</v>
      </c>
      <c r="J8" s="78">
        <f t="shared" si="0"/>
        <v>4.0698041509837547E-4</v>
      </c>
      <c r="K8" s="78">
        <f t="shared" si="1"/>
        <v>4.5677057226466611E-4</v>
      </c>
      <c r="L8" s="69"/>
      <c r="M8" s="5" t="s">
        <v>461</v>
      </c>
      <c r="N8" s="5">
        <v>0.69299999999999995</v>
      </c>
      <c r="O8" s="69"/>
      <c r="P8" s="5" t="s">
        <v>461</v>
      </c>
      <c r="Q8" s="98">
        <v>15945</v>
      </c>
      <c r="R8" s="69"/>
    </row>
    <row r="9" spans="1:18" ht="43.2" x14ac:dyDescent="0.3">
      <c r="A9" s="89" t="s">
        <v>495</v>
      </c>
      <c r="B9" s="89">
        <f>N15</f>
        <v>0.82009857825286148</v>
      </c>
      <c r="C9" s="91" t="s">
        <v>614</v>
      </c>
      <c r="E9" s="86">
        <v>6</v>
      </c>
      <c r="F9" s="85" t="s">
        <v>477</v>
      </c>
      <c r="G9" s="77">
        <v>1</v>
      </c>
      <c r="H9" s="77">
        <v>1.167</v>
      </c>
      <c r="I9" s="78">
        <v>0.13910447299618456</v>
      </c>
      <c r="J9" s="78">
        <f t="shared" si="0"/>
        <v>0.13910447299618456</v>
      </c>
      <c r="K9" s="78">
        <f t="shared" si="1"/>
        <v>0.16233491998654739</v>
      </c>
      <c r="L9" s="69"/>
      <c r="M9" s="5" t="s">
        <v>462</v>
      </c>
      <c r="N9" s="5">
        <v>0.81899999999999995</v>
      </c>
      <c r="O9" s="69"/>
      <c r="P9" s="5" t="s">
        <v>462</v>
      </c>
      <c r="Q9" s="98">
        <v>15443</v>
      </c>
      <c r="R9" s="69"/>
    </row>
    <row r="10" spans="1:18" ht="28.8" x14ac:dyDescent="0.3">
      <c r="A10" s="89" t="s">
        <v>490</v>
      </c>
      <c r="B10" s="89">
        <f>1/K42*B9</f>
        <v>0.7374262098986285</v>
      </c>
      <c r="C10" s="90" t="s">
        <v>492</v>
      </c>
      <c r="E10" s="86">
        <v>7</v>
      </c>
      <c r="F10" s="85" t="s">
        <v>478</v>
      </c>
      <c r="G10" s="77">
        <v>1</v>
      </c>
      <c r="H10" s="77">
        <v>1.1519999999999999</v>
      </c>
      <c r="I10" s="78">
        <v>4.6714352167431E-2</v>
      </c>
      <c r="J10" s="78">
        <f t="shared" si="0"/>
        <v>4.6714352167431E-2</v>
      </c>
      <c r="K10" s="78">
        <f t="shared" si="1"/>
        <v>5.3814933696880507E-2</v>
      </c>
      <c r="L10" s="69"/>
      <c r="M10" s="5" t="s">
        <v>463</v>
      </c>
      <c r="N10" s="5">
        <v>0.83399999999999996</v>
      </c>
      <c r="O10" s="69"/>
      <c r="P10" s="5" t="s">
        <v>463</v>
      </c>
      <c r="Q10" s="98">
        <v>39662</v>
      </c>
      <c r="R10" s="69"/>
    </row>
    <row r="11" spans="1:18" x14ac:dyDescent="0.3">
      <c r="E11" s="86">
        <v>8</v>
      </c>
      <c r="F11" s="85" t="s">
        <v>479</v>
      </c>
      <c r="G11" s="77">
        <v>0.94</v>
      </c>
      <c r="H11" s="77">
        <v>1.0549999999999999</v>
      </c>
      <c r="I11" s="78">
        <v>0.16224194872283865</v>
      </c>
      <c r="J11" s="78">
        <f t="shared" si="0"/>
        <v>0.15250743179946832</v>
      </c>
      <c r="K11" s="78">
        <f t="shared" si="1"/>
        <v>0.17116525590259477</v>
      </c>
      <c r="L11" s="69"/>
      <c r="M11" s="5" t="s">
        <v>464</v>
      </c>
      <c r="N11" s="5">
        <v>0.63200000000000001</v>
      </c>
      <c r="O11" s="69"/>
      <c r="P11" s="5" t="s">
        <v>464</v>
      </c>
      <c r="Q11" s="98">
        <v>30343</v>
      </c>
      <c r="R11" s="69"/>
    </row>
    <row r="12" spans="1:18" x14ac:dyDescent="0.3">
      <c r="A12" s="3" t="s">
        <v>2</v>
      </c>
      <c r="E12" s="86">
        <v>9</v>
      </c>
      <c r="F12" s="85" t="s">
        <v>480</v>
      </c>
      <c r="G12" s="77">
        <v>1.0009999999999999</v>
      </c>
      <c r="H12" s="77">
        <v>1.167</v>
      </c>
      <c r="I12" s="78">
        <v>0.2181038248479171</v>
      </c>
      <c r="J12" s="78">
        <f t="shared" si="0"/>
        <v>0.21832192867276498</v>
      </c>
      <c r="K12" s="78">
        <f t="shared" si="1"/>
        <v>0.25452716359751926</v>
      </c>
      <c r="L12" s="69"/>
      <c r="M12" s="5" t="s">
        <v>465</v>
      </c>
      <c r="N12" s="5">
        <v>0.85699999999999998</v>
      </c>
      <c r="O12" s="69"/>
      <c r="P12" s="5" t="s">
        <v>465</v>
      </c>
      <c r="Q12" s="98">
        <v>71452</v>
      </c>
      <c r="R12" s="69"/>
    </row>
    <row r="13" spans="1:18" x14ac:dyDescent="0.3">
      <c r="E13" s="86">
        <v>10</v>
      </c>
      <c r="F13" s="85" t="s">
        <v>481</v>
      </c>
      <c r="G13" s="77">
        <v>1</v>
      </c>
      <c r="H13" s="77">
        <v>1.1659999999999999</v>
      </c>
      <c r="I13" s="78">
        <v>0.21277818510753721</v>
      </c>
      <c r="J13" s="78">
        <f t="shared" si="0"/>
        <v>0.21277818510753721</v>
      </c>
      <c r="K13" s="78">
        <f t="shared" si="1"/>
        <v>0.24809936383538836</v>
      </c>
      <c r="L13" s="69"/>
      <c r="M13" s="9" t="s">
        <v>466</v>
      </c>
      <c r="N13" s="9">
        <v>0.85599999999999998</v>
      </c>
      <c r="O13" s="69"/>
      <c r="P13" s="9" t="s">
        <v>466</v>
      </c>
      <c r="Q13" s="99">
        <v>67752</v>
      </c>
      <c r="R13" s="69"/>
    </row>
    <row r="14" spans="1:18" ht="15" thickBot="1" x14ac:dyDescent="0.35">
      <c r="E14" s="86">
        <v>11</v>
      </c>
      <c r="F14" s="85" t="s">
        <v>482</v>
      </c>
      <c r="G14" s="77">
        <v>1</v>
      </c>
      <c r="H14" s="77">
        <v>1.07</v>
      </c>
      <c r="I14" s="78">
        <v>1.0238938634662145E-2</v>
      </c>
      <c r="J14" s="78">
        <f t="shared" si="0"/>
        <v>1.0238938634662145E-2</v>
      </c>
      <c r="K14" s="78">
        <f t="shared" si="1"/>
        <v>1.0955664339088496E-2</v>
      </c>
      <c r="L14" s="69"/>
      <c r="M14" s="69" t="s">
        <v>467</v>
      </c>
      <c r="N14" s="69">
        <f>AVERAGE(N4:N13)</f>
        <v>0.79359999999999986</v>
      </c>
      <c r="O14" s="69"/>
      <c r="P14" s="69"/>
      <c r="Q14" s="69"/>
      <c r="R14" s="69"/>
    </row>
    <row r="15" spans="1:18" ht="15" thickBot="1" x14ac:dyDescent="0.35">
      <c r="E15" s="86">
        <v>12</v>
      </c>
      <c r="F15" s="85" t="s">
        <v>483</v>
      </c>
      <c r="G15" s="77">
        <v>1</v>
      </c>
      <c r="H15" s="77">
        <v>1.198</v>
      </c>
      <c r="I15" s="78">
        <v>3.6051475600374715E-2</v>
      </c>
      <c r="J15" s="78">
        <f t="shared" si="0"/>
        <v>3.6051475600374715E-2</v>
      </c>
      <c r="K15" s="78">
        <f t="shared" si="1"/>
        <v>4.3189667769248909E-2</v>
      </c>
      <c r="L15" s="69"/>
      <c r="M15" s="81" t="s">
        <v>468</v>
      </c>
      <c r="N15" s="82">
        <f>SUMPRODUCT(N4:N13,Q4:Q13)/SUM(Q4:Q13)</f>
        <v>0.82009857825286148</v>
      </c>
      <c r="O15" s="69"/>
      <c r="P15" s="69"/>
      <c r="Q15" s="69"/>
      <c r="R15" s="69"/>
    </row>
    <row r="16" spans="1:18" x14ac:dyDescent="0.3">
      <c r="E16" s="86">
        <v>13</v>
      </c>
      <c r="F16" s="85" t="s">
        <v>484</v>
      </c>
      <c r="G16" s="77">
        <v>1.0009999999999999</v>
      </c>
      <c r="H16" s="77">
        <v>1.113</v>
      </c>
      <c r="I16" s="78">
        <v>2.1692994200168285E-2</v>
      </c>
      <c r="J16" s="78">
        <f t="shared" si="0"/>
        <v>2.1714687194368452E-2</v>
      </c>
      <c r="K16" s="78">
        <f t="shared" si="1"/>
        <v>2.4144302544787302E-2</v>
      </c>
      <c r="L16" s="69"/>
      <c r="M16" s="69"/>
      <c r="N16" s="69"/>
      <c r="O16" s="69"/>
      <c r="P16" s="69"/>
      <c r="Q16" s="69"/>
      <c r="R16" s="69"/>
    </row>
    <row r="17" spans="1:18" x14ac:dyDescent="0.3">
      <c r="E17" s="86">
        <v>14</v>
      </c>
      <c r="F17" s="85" t="s">
        <v>485</v>
      </c>
      <c r="G17" s="77">
        <v>0.94</v>
      </c>
      <c r="H17" s="77">
        <v>0.99199999999999999</v>
      </c>
      <c r="I17" s="78">
        <v>3.4945886706775404E-2</v>
      </c>
      <c r="J17" s="78">
        <f t="shared" si="0"/>
        <v>3.2849133504368876E-2</v>
      </c>
      <c r="K17" s="78">
        <f t="shared" si="1"/>
        <v>3.4666319613121201E-2</v>
      </c>
      <c r="L17" s="69"/>
      <c r="M17" s="69"/>
      <c r="N17" s="69"/>
      <c r="O17" s="69"/>
      <c r="P17" s="69"/>
      <c r="Q17" s="69"/>
      <c r="R17" s="69"/>
    </row>
    <row r="18" spans="1:18" x14ac:dyDescent="0.3">
      <c r="E18" s="86">
        <v>15</v>
      </c>
      <c r="F18" s="85" t="s">
        <v>486</v>
      </c>
      <c r="G18" s="77">
        <v>0.94</v>
      </c>
      <c r="H18" s="77">
        <v>1.054</v>
      </c>
      <c r="I18" s="78">
        <v>4.7198852661595736E-2</v>
      </c>
      <c r="J18" s="78">
        <f t="shared" si="0"/>
        <v>4.436692150189999E-2</v>
      </c>
      <c r="K18" s="78">
        <f t="shared" si="1"/>
        <v>4.9747590705321906E-2</v>
      </c>
      <c r="L18" s="69"/>
      <c r="M18" s="69"/>
      <c r="N18" s="69"/>
      <c r="O18" s="69"/>
      <c r="P18" s="69"/>
      <c r="Q18" s="69"/>
      <c r="R18" s="69"/>
    </row>
    <row r="19" spans="1:18" x14ac:dyDescent="0.3">
      <c r="E19" s="86">
        <v>16</v>
      </c>
      <c r="F19" s="85" t="s">
        <v>487</v>
      </c>
      <c r="G19" s="77">
        <v>0.94</v>
      </c>
      <c r="H19" s="77">
        <v>1.07</v>
      </c>
      <c r="I19" s="78">
        <v>1.1973347318560363E-2</v>
      </c>
      <c r="J19" s="78">
        <f t="shared" si="0"/>
        <v>1.1254946479446741E-2</v>
      </c>
      <c r="K19" s="78">
        <f t="shared" si="1"/>
        <v>1.2811481630859588E-2</v>
      </c>
      <c r="L19" s="69"/>
      <c r="M19" s="69"/>
      <c r="N19" s="69"/>
      <c r="O19" s="69"/>
      <c r="P19" s="69"/>
      <c r="Q19" s="69"/>
      <c r="R19" s="69"/>
    </row>
    <row r="20" spans="1:18" ht="15" x14ac:dyDescent="0.25">
      <c r="E20" s="77"/>
      <c r="F20" s="85" t="s">
        <v>450</v>
      </c>
      <c r="G20" s="77">
        <f>AVERAGE(G4:G19)</f>
        <v>0.97393749999999979</v>
      </c>
      <c r="H20" s="77">
        <f>AVERAGE(H4:H19)</f>
        <v>1.1906249999999998</v>
      </c>
      <c r="I20" s="78">
        <f>SUM(I4:I19)</f>
        <v>1</v>
      </c>
      <c r="J20" s="78">
        <f>SUM(J4:J19)</f>
        <v>0.98408471284970045</v>
      </c>
      <c r="K20" s="78">
        <f>SUM(K4:K19)</f>
        <v>1.158045030197524</v>
      </c>
      <c r="L20" s="69"/>
      <c r="M20" s="69"/>
      <c r="N20" s="69"/>
      <c r="O20" s="69"/>
      <c r="P20" s="69"/>
      <c r="Q20" s="69"/>
      <c r="R20" s="69"/>
    </row>
    <row r="21" spans="1:18" ht="15" x14ac:dyDescent="0.25">
      <c r="E21" s="87" t="s">
        <v>488</v>
      </c>
      <c r="F21" s="88"/>
      <c r="G21" s="80"/>
      <c r="H21" s="80"/>
      <c r="I21" s="72"/>
      <c r="J21" s="72"/>
      <c r="K21" s="72"/>
      <c r="L21" s="69"/>
      <c r="M21" s="69"/>
      <c r="N21" s="69"/>
      <c r="O21" s="69"/>
      <c r="P21" s="69"/>
      <c r="Q21" s="69"/>
      <c r="R21" s="69"/>
    </row>
    <row r="22" spans="1:18" ht="15" x14ac:dyDescent="0.25">
      <c r="E22" s="87" t="s">
        <v>489</v>
      </c>
      <c r="F22" s="88"/>
      <c r="G22" s="80"/>
      <c r="H22" s="80"/>
      <c r="I22" s="72"/>
      <c r="J22" s="72"/>
      <c r="K22" s="72"/>
      <c r="L22" s="69"/>
      <c r="M22" s="69"/>
      <c r="N22" s="69"/>
      <c r="O22" s="69"/>
      <c r="P22" s="69"/>
      <c r="Q22" s="69"/>
      <c r="R22" s="69"/>
    </row>
    <row r="23" spans="1:18" ht="15" x14ac:dyDescent="0.25">
      <c r="E23" s="69"/>
      <c r="F23" s="69"/>
      <c r="G23" s="69"/>
      <c r="H23" s="69"/>
      <c r="I23" s="69"/>
      <c r="J23" s="69"/>
      <c r="K23" s="69"/>
      <c r="L23" s="69"/>
      <c r="M23" s="69"/>
      <c r="N23" s="69"/>
      <c r="O23" s="69"/>
      <c r="P23" s="69"/>
      <c r="Q23" s="69"/>
      <c r="R23" s="69"/>
    </row>
    <row r="24" spans="1:18" ht="15.75" x14ac:dyDescent="0.25">
      <c r="A24" s="69"/>
      <c r="D24" s="69"/>
      <c r="E24" s="83" t="s">
        <v>498</v>
      </c>
      <c r="F24" s="72"/>
      <c r="G24" s="72"/>
      <c r="H24" s="72"/>
      <c r="I24" s="72"/>
      <c r="J24" s="72"/>
      <c r="K24" s="72"/>
      <c r="L24" s="69"/>
      <c r="M24" s="69"/>
      <c r="N24" s="69"/>
      <c r="O24" s="69"/>
    </row>
    <row r="25" spans="1:18" ht="28.5" x14ac:dyDescent="0.25">
      <c r="E25" s="74" t="s">
        <v>470</v>
      </c>
      <c r="F25" s="74" t="s">
        <v>471</v>
      </c>
      <c r="G25" s="73" t="s">
        <v>451</v>
      </c>
      <c r="H25" s="73" t="s">
        <v>452</v>
      </c>
      <c r="I25" s="74" t="s">
        <v>453</v>
      </c>
      <c r="J25" s="74" t="s">
        <v>454</v>
      </c>
      <c r="K25" s="74" t="s">
        <v>455</v>
      </c>
    </row>
    <row r="26" spans="1:18" ht="15" x14ac:dyDescent="0.25">
      <c r="E26" s="84">
        <v>1</v>
      </c>
      <c r="F26" s="85" t="s">
        <v>472</v>
      </c>
      <c r="G26" s="77">
        <v>1.002</v>
      </c>
      <c r="H26" s="77">
        <v>1.1459999999999999</v>
      </c>
      <c r="I26" s="78">
        <v>5.4358915030342549E-3</v>
      </c>
      <c r="J26" s="78">
        <f>G26*I26</f>
        <v>5.4467632860403237E-3</v>
      </c>
      <c r="K26" s="78">
        <f t="shared" ref="K26:K41" si="2">H26*I26</f>
        <v>6.2295316624772553E-3</v>
      </c>
    </row>
    <row r="27" spans="1:18" ht="15" x14ac:dyDescent="0.25">
      <c r="E27" s="86">
        <v>2</v>
      </c>
      <c r="F27" s="85" t="s">
        <v>473</v>
      </c>
      <c r="G27" s="77">
        <v>0.96499999999999997</v>
      </c>
      <c r="H27" s="77">
        <v>1.1870000000000001</v>
      </c>
      <c r="I27" s="78">
        <v>1.3086210704557167E-2</v>
      </c>
      <c r="J27" s="78">
        <f t="shared" ref="J27:J41" si="3">G27*I27</f>
        <v>1.2628193329897666E-2</v>
      </c>
      <c r="K27" s="78">
        <f t="shared" si="2"/>
        <v>1.5533332106309358E-2</v>
      </c>
    </row>
    <row r="28" spans="1:18" ht="15" x14ac:dyDescent="0.25">
      <c r="E28" s="86">
        <v>3</v>
      </c>
      <c r="F28" s="85" t="s">
        <v>474</v>
      </c>
      <c r="G28" s="77">
        <v>1.0609999999999999</v>
      </c>
      <c r="H28" s="77">
        <v>1.571</v>
      </c>
      <c r="I28" s="78">
        <v>4.8610132413415927E-2</v>
      </c>
      <c r="J28" s="78">
        <f t="shared" si="3"/>
        <v>5.1575350490634296E-2</v>
      </c>
      <c r="K28" s="78">
        <f t="shared" si="2"/>
        <v>7.6366518021476412E-2</v>
      </c>
    </row>
    <row r="29" spans="1:18" ht="15" x14ac:dyDescent="0.25">
      <c r="E29" s="86">
        <v>4</v>
      </c>
      <c r="F29" s="85" t="s">
        <v>475</v>
      </c>
      <c r="G29" s="77">
        <v>1.0249999999999999</v>
      </c>
      <c r="H29" s="77">
        <v>1.532</v>
      </c>
      <c r="I29" s="78">
        <v>1.9216773067174304E-2</v>
      </c>
      <c r="J29" s="78">
        <f t="shared" si="3"/>
        <v>1.969719239385366E-2</v>
      </c>
      <c r="K29" s="78">
        <f t="shared" si="2"/>
        <v>2.9440096338911034E-2</v>
      </c>
    </row>
    <row r="30" spans="1:18" ht="15" x14ac:dyDescent="0.25">
      <c r="E30" s="86">
        <v>5</v>
      </c>
      <c r="F30" s="85" t="s">
        <v>476</v>
      </c>
      <c r="G30" s="77">
        <v>0.90400000000000003</v>
      </c>
      <c r="H30" s="77">
        <v>0.96199999999999997</v>
      </c>
      <c r="I30" s="78">
        <v>5.1419316162009234E-3</v>
      </c>
      <c r="J30" s="78">
        <f t="shared" si="3"/>
        <v>4.6483061810456347E-3</v>
      </c>
      <c r="K30" s="78">
        <f t="shared" si="2"/>
        <v>4.946538214785288E-3</v>
      </c>
    </row>
    <row r="31" spans="1:18" ht="15" x14ac:dyDescent="0.25">
      <c r="E31" s="86">
        <v>6</v>
      </c>
      <c r="F31" s="85" t="s">
        <v>477</v>
      </c>
      <c r="G31" s="77">
        <v>0.89400000000000002</v>
      </c>
      <c r="H31" s="77">
        <v>1.097</v>
      </c>
      <c r="I31" s="78">
        <v>0.13380906805776127</v>
      </c>
      <c r="J31" s="78">
        <f t="shared" si="3"/>
        <v>0.11962530684363858</v>
      </c>
      <c r="K31" s="78">
        <f t="shared" si="2"/>
        <v>0.14678854765936411</v>
      </c>
    </row>
    <row r="32" spans="1:18" ht="15" x14ac:dyDescent="0.25">
      <c r="E32" s="86">
        <v>7</v>
      </c>
      <c r="F32" s="85" t="s">
        <v>478</v>
      </c>
      <c r="G32" s="77">
        <v>0.99199999999999999</v>
      </c>
      <c r="H32" s="77">
        <v>0.99099999999999999</v>
      </c>
      <c r="I32" s="78">
        <v>3.3253226196611307E-2</v>
      </c>
      <c r="J32" s="78">
        <f t="shared" si="3"/>
        <v>3.2987200387038416E-2</v>
      </c>
      <c r="K32" s="78">
        <f t="shared" si="2"/>
        <v>3.2953947160841802E-2</v>
      </c>
    </row>
    <row r="33" spans="5:11" ht="15" x14ac:dyDescent="0.25">
      <c r="E33" s="86">
        <v>8</v>
      </c>
      <c r="F33" s="85" t="s">
        <v>479</v>
      </c>
      <c r="G33" s="77">
        <v>0.96199999999999997</v>
      </c>
      <c r="H33" s="77">
        <v>1.03</v>
      </c>
      <c r="I33" s="78">
        <v>0.19238701738517686</v>
      </c>
      <c r="J33" s="78">
        <f t="shared" si="3"/>
        <v>0.18507631072454012</v>
      </c>
      <c r="K33" s="78">
        <f t="shared" si="2"/>
        <v>0.19815862790673217</v>
      </c>
    </row>
    <row r="34" spans="5:11" ht="15" x14ac:dyDescent="0.25">
      <c r="E34" s="86">
        <v>9</v>
      </c>
      <c r="F34" s="85" t="s">
        <v>480</v>
      </c>
      <c r="G34" s="77">
        <v>0.998</v>
      </c>
      <c r="H34" s="77">
        <v>1.208</v>
      </c>
      <c r="I34" s="78">
        <v>0.16605157707638751</v>
      </c>
      <c r="J34" s="78">
        <f t="shared" si="3"/>
        <v>0.16571947392223474</v>
      </c>
      <c r="K34" s="78">
        <f t="shared" si="2"/>
        <v>0.20059030510827611</v>
      </c>
    </row>
    <row r="35" spans="5:11" ht="15" x14ac:dyDescent="0.25">
      <c r="E35" s="86">
        <v>10</v>
      </c>
      <c r="F35" s="85" t="s">
        <v>481</v>
      </c>
      <c r="G35" s="77">
        <v>0.92500000000000004</v>
      </c>
      <c r="H35" s="77">
        <v>1.0649999999999999</v>
      </c>
      <c r="I35" s="78">
        <v>0.19968868648836255</v>
      </c>
      <c r="J35" s="78">
        <f t="shared" si="3"/>
        <v>0.18471203500173536</v>
      </c>
      <c r="K35" s="78">
        <f t="shared" si="2"/>
        <v>0.2126684511101061</v>
      </c>
    </row>
    <row r="36" spans="5:11" ht="15" x14ac:dyDescent="0.25">
      <c r="E36" s="86">
        <v>11</v>
      </c>
      <c r="F36" s="85" t="s">
        <v>482</v>
      </c>
      <c r="G36" s="77">
        <v>0.997</v>
      </c>
      <c r="H36" s="77">
        <v>1.018</v>
      </c>
      <c r="I36" s="78">
        <v>1.0620418380118004E-2</v>
      </c>
      <c r="J36" s="78">
        <f t="shared" si="3"/>
        <v>1.058855712497765E-2</v>
      </c>
      <c r="K36" s="78">
        <f t="shared" si="2"/>
        <v>1.0811585910960129E-2</v>
      </c>
    </row>
    <row r="37" spans="5:11" ht="15" x14ac:dyDescent="0.25">
      <c r="E37" s="86">
        <v>12</v>
      </c>
      <c r="F37" s="85" t="s">
        <v>483</v>
      </c>
      <c r="G37" s="77">
        <v>1.012</v>
      </c>
      <c r="H37" s="77">
        <v>1.133</v>
      </c>
      <c r="I37" s="78">
        <v>3.8485081141342643E-2</v>
      </c>
      <c r="J37" s="78">
        <f t="shared" si="3"/>
        <v>3.8946902115038755E-2</v>
      </c>
      <c r="K37" s="78">
        <f t="shared" si="2"/>
        <v>4.3603596933141218E-2</v>
      </c>
    </row>
    <row r="38" spans="5:11" ht="15" x14ac:dyDescent="0.25">
      <c r="E38" s="86">
        <v>13</v>
      </c>
      <c r="F38" s="85" t="s">
        <v>484</v>
      </c>
      <c r="G38" s="77">
        <v>0.91800000000000004</v>
      </c>
      <c r="H38" s="77">
        <v>1.0149999999999999</v>
      </c>
      <c r="I38" s="78">
        <v>5.5950189838138008E-2</v>
      </c>
      <c r="J38" s="78">
        <f t="shared" si="3"/>
        <v>5.1362274271410692E-2</v>
      </c>
      <c r="K38" s="78">
        <f t="shared" si="2"/>
        <v>5.6789442685710075E-2</v>
      </c>
    </row>
    <row r="39" spans="5:11" ht="15" x14ac:dyDescent="0.25">
      <c r="E39" s="86">
        <v>14</v>
      </c>
      <c r="F39" s="85" t="s">
        <v>485</v>
      </c>
      <c r="G39" s="77">
        <v>0.90400000000000003</v>
      </c>
      <c r="H39" s="77">
        <v>0.96399999999999997</v>
      </c>
      <c r="I39" s="78">
        <v>4.8091101271547421E-2</v>
      </c>
      <c r="J39" s="78">
        <f t="shared" si="3"/>
        <v>4.3474355549478871E-2</v>
      </c>
      <c r="K39" s="78">
        <f t="shared" si="2"/>
        <v>4.6359821625771715E-2</v>
      </c>
    </row>
    <row r="40" spans="5:11" ht="15" x14ac:dyDescent="0.25">
      <c r="E40" s="86">
        <v>15</v>
      </c>
      <c r="F40" s="85" t="s">
        <v>486</v>
      </c>
      <c r="G40" s="77">
        <v>0.96199999999999997</v>
      </c>
      <c r="H40" s="77">
        <v>1.024</v>
      </c>
      <c r="I40" s="78">
        <v>2.5532966628453634E-2</v>
      </c>
      <c r="J40" s="78">
        <f t="shared" si="3"/>
        <v>2.4562713896572396E-2</v>
      </c>
      <c r="K40" s="78">
        <f t="shared" si="2"/>
        <v>2.6145757827536521E-2</v>
      </c>
    </row>
    <row r="41" spans="5:11" ht="15" x14ac:dyDescent="0.25">
      <c r="E41" s="86">
        <v>16</v>
      </c>
      <c r="F41" s="85" t="s">
        <v>487</v>
      </c>
      <c r="G41" s="77">
        <v>1.0009999999999999</v>
      </c>
      <c r="H41" s="77">
        <v>1.018</v>
      </c>
      <c r="I41" s="78">
        <v>4.6397282317182193E-3</v>
      </c>
      <c r="J41" s="78">
        <f t="shared" si="3"/>
        <v>4.6443679599499372E-3</v>
      </c>
      <c r="K41" s="78">
        <f t="shared" si="2"/>
        <v>4.7232433398891474E-3</v>
      </c>
    </row>
    <row r="42" spans="5:11" ht="15" x14ac:dyDescent="0.25">
      <c r="E42" s="77"/>
      <c r="F42" s="85" t="s">
        <v>450</v>
      </c>
      <c r="G42" s="77">
        <f>AVERAGE(G26:G41)</f>
        <v>0.9701249999999999</v>
      </c>
      <c r="H42" s="77">
        <f>AVERAGE(H26:H41)</f>
        <v>1.1225624999999999</v>
      </c>
      <c r="I42" s="78">
        <f>SUM(I26:I41)</f>
        <v>0.99999999999999989</v>
      </c>
      <c r="J42" s="78">
        <f>SUM(J26:J41)</f>
        <v>0.95569530347808707</v>
      </c>
      <c r="K42" s="78">
        <f>SUM(K26:K41)</f>
        <v>1.1121093436122886</v>
      </c>
    </row>
    <row r="43" spans="5:11" ht="15" x14ac:dyDescent="0.25">
      <c r="E43" s="72"/>
      <c r="F43" s="88"/>
      <c r="G43" s="80"/>
      <c r="H43" s="80"/>
      <c r="I43" s="72"/>
      <c r="J43" s="72"/>
      <c r="K43" s="72"/>
    </row>
    <row r="44" spans="5:11" ht="15" x14ac:dyDescent="0.25">
      <c r="E44" s="87" t="s">
        <v>499</v>
      </c>
      <c r="F44" s="88"/>
      <c r="G44" s="80"/>
      <c r="H44" s="80"/>
      <c r="I44" s="72"/>
      <c r="J44" s="72"/>
      <c r="K44" s="72"/>
    </row>
    <row r="45" spans="5:11" ht="15" x14ac:dyDescent="0.25">
      <c r="E45" s="87" t="s">
        <v>500</v>
      </c>
      <c r="F45" s="88"/>
      <c r="G45" s="80"/>
      <c r="H45" s="80"/>
      <c r="I45" s="72"/>
      <c r="J45" s="72"/>
      <c r="K45" s="72"/>
    </row>
  </sheetData>
  <mergeCells count="3">
    <mergeCell ref="P3:Q3"/>
    <mergeCell ref="A3:B3"/>
    <mergeCell ref="A8:B8"/>
  </mergeCells>
  <hyperlinks>
    <hyperlink ref="A12" location="TRM_MCS_measures!A1" display="Return To TRM_MCS_Measur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9"/>
  <sheetViews>
    <sheetView workbookViewId="0">
      <selection activeCell="D6" sqref="D6"/>
    </sheetView>
  </sheetViews>
  <sheetFormatPr defaultRowHeight="14.4" x14ac:dyDescent="0.3"/>
  <cols>
    <col min="1" max="1" width="14.109375" style="15" customWidth="1"/>
    <col min="2" max="2" width="22.33203125" customWidth="1"/>
    <col min="3" max="3" width="20.6640625" customWidth="1"/>
    <col min="4" max="4" width="23.5546875" customWidth="1"/>
    <col min="5" max="5" width="38.88671875" customWidth="1"/>
    <col min="6" max="6" width="21" customWidth="1"/>
    <col min="7" max="7" width="23.5546875" customWidth="1"/>
    <col min="8" max="8" width="20.44140625" customWidth="1"/>
    <col min="9" max="9" width="19" customWidth="1"/>
  </cols>
  <sheetData>
    <row r="1" spans="1:6" x14ac:dyDescent="0.3">
      <c r="A1" s="797" t="s">
        <v>15</v>
      </c>
      <c r="B1" s="798"/>
      <c r="C1" s="798"/>
      <c r="D1" s="799"/>
      <c r="F1" s="26"/>
    </row>
    <row r="2" spans="1:6" x14ac:dyDescent="0.3">
      <c r="A2" s="23" t="s">
        <v>34</v>
      </c>
      <c r="B2" s="19" t="s">
        <v>33</v>
      </c>
      <c r="C2" s="19" t="s">
        <v>7</v>
      </c>
      <c r="D2" s="19" t="s">
        <v>8</v>
      </c>
    </row>
    <row r="3" spans="1:6" x14ac:dyDescent="0.3">
      <c r="A3" s="25" t="s">
        <v>493</v>
      </c>
      <c r="B3" s="25">
        <v>1.9E-2</v>
      </c>
      <c r="C3" s="25">
        <v>4</v>
      </c>
      <c r="D3" s="25">
        <f>(1+$B$3)^$C$3</f>
        <v>1.0781935663209998</v>
      </c>
      <c r="E3" t="s">
        <v>494</v>
      </c>
    </row>
    <row r="4" spans="1:6" s="69" customFormat="1" x14ac:dyDescent="0.3">
      <c r="A4" s="25" t="s">
        <v>549</v>
      </c>
      <c r="B4" s="25">
        <v>1.9E-2</v>
      </c>
      <c r="C4" s="25">
        <v>1</v>
      </c>
      <c r="D4" s="25">
        <f>(1+$B$4)^$C$4</f>
        <v>1.0189999999999999</v>
      </c>
      <c r="E4" s="69" t="s">
        <v>550</v>
      </c>
    </row>
    <row r="5" spans="1:6" s="69" customFormat="1" x14ac:dyDescent="0.3">
      <c r="A5" s="25" t="s">
        <v>608</v>
      </c>
      <c r="B5" s="25">
        <v>1.9E-2</v>
      </c>
      <c r="C5" s="25">
        <v>2</v>
      </c>
      <c r="D5" s="25">
        <f>(1+$B$5)^$C$5</f>
        <v>1.0383609999999999</v>
      </c>
      <c r="E5" s="69" t="s">
        <v>550</v>
      </c>
    </row>
    <row r="6" spans="1:6" s="69" customFormat="1" x14ac:dyDescent="0.3">
      <c r="A6" s="25" t="s">
        <v>609</v>
      </c>
      <c r="B6" s="25">
        <v>1.9E-2</v>
      </c>
      <c r="C6" s="25">
        <v>3</v>
      </c>
      <c r="D6" s="25">
        <f>(1+$B$6)^$C$6</f>
        <v>1.0580898589999999</v>
      </c>
      <c r="E6" s="69" t="s">
        <v>550</v>
      </c>
    </row>
    <row r="7" spans="1:6" x14ac:dyDescent="0.3">
      <c r="A7" s="25" t="s">
        <v>35</v>
      </c>
      <c r="B7" s="25">
        <v>1.9199999999999998E-2</v>
      </c>
      <c r="C7" s="25">
        <v>4</v>
      </c>
      <c r="D7" s="25">
        <f>(1+$B$7)^$C$7</f>
        <v>1.0790402874474501</v>
      </c>
      <c r="E7" s="69" t="s">
        <v>610</v>
      </c>
    </row>
    <row r="8" spans="1:6" x14ac:dyDescent="0.3">
      <c r="A8" s="1" t="s">
        <v>160</v>
      </c>
      <c r="B8" s="25">
        <v>1.9199999999999998E-2</v>
      </c>
      <c r="C8" s="1">
        <v>10</v>
      </c>
      <c r="D8" s="1">
        <f>(1+$B$8)^$C$8</f>
        <v>1.2094673527574824</v>
      </c>
      <c r="E8" s="69" t="s">
        <v>610</v>
      </c>
    </row>
    <row r="9" spans="1:6" x14ac:dyDescent="0.3">
      <c r="A9" s="3" t="s">
        <v>2</v>
      </c>
    </row>
  </sheetData>
  <mergeCells count="1">
    <mergeCell ref="A1:D1"/>
  </mergeCells>
  <hyperlinks>
    <hyperlink ref="A9" location="TRM_MCS_measures!A1" display="Return To TRM_MCS_Measur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7"/>
  <sheetViews>
    <sheetView workbookViewId="0">
      <selection activeCell="A5" sqref="A5"/>
    </sheetView>
  </sheetViews>
  <sheetFormatPr defaultRowHeight="14.4" x14ac:dyDescent="0.3"/>
  <cols>
    <col min="1" max="1" width="15.44140625" customWidth="1"/>
    <col min="2" max="2" width="16.44140625" customWidth="1"/>
    <col min="3" max="3" width="16.109375" customWidth="1"/>
  </cols>
  <sheetData>
    <row r="1" spans="1:3" ht="24.75" customHeight="1" thickBot="1" x14ac:dyDescent="0.35">
      <c r="A1" s="800" t="s">
        <v>226</v>
      </c>
      <c r="B1" s="800"/>
      <c r="C1" s="800"/>
    </row>
    <row r="2" spans="1:3" ht="28.2" thickBot="1" x14ac:dyDescent="0.35">
      <c r="A2" s="49" t="s">
        <v>227</v>
      </c>
      <c r="B2" s="48" t="s">
        <v>228</v>
      </c>
      <c r="C2" s="48" t="s">
        <v>5</v>
      </c>
    </row>
    <row r="3" spans="1:3" ht="15" thickBot="1" x14ac:dyDescent="0.35">
      <c r="A3" s="47">
        <v>500</v>
      </c>
      <c r="B3" s="46">
        <v>1000</v>
      </c>
      <c r="C3" s="45">
        <v>150</v>
      </c>
    </row>
    <row r="4" spans="1:3" ht="15" thickBot="1" x14ac:dyDescent="0.35">
      <c r="A4" s="47">
        <v>1000</v>
      </c>
      <c r="B4" s="46">
        <v>4000</v>
      </c>
      <c r="C4" s="45">
        <v>245</v>
      </c>
    </row>
    <row r="5" spans="1:3" ht="15" thickBot="1" x14ac:dyDescent="0.35">
      <c r="A5" s="47">
        <v>4000</v>
      </c>
      <c r="B5" s="46">
        <v>15000</v>
      </c>
      <c r="C5" s="45">
        <v>315</v>
      </c>
    </row>
    <row r="7" spans="1:3" x14ac:dyDescent="0.3">
      <c r="A7" s="3" t="s">
        <v>28</v>
      </c>
    </row>
  </sheetData>
  <mergeCells count="1">
    <mergeCell ref="A1:C1"/>
  </mergeCells>
  <hyperlinks>
    <hyperlink ref="A7" location="TRM_MCS_measures!A1" display="Return To TRM_MCS_Measur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12"/>
  <sheetViews>
    <sheetView workbookViewId="0">
      <selection sqref="A1:A3"/>
    </sheetView>
  </sheetViews>
  <sheetFormatPr defaultRowHeight="14.4" x14ac:dyDescent="0.3"/>
  <cols>
    <col min="1" max="1" width="26" customWidth="1"/>
    <col min="2" max="2" width="29" customWidth="1"/>
    <col min="3" max="3" width="30.109375" customWidth="1"/>
    <col min="4" max="4" width="34.5546875" customWidth="1"/>
    <col min="5" max="5" width="37" customWidth="1"/>
  </cols>
  <sheetData>
    <row r="1" spans="1:5" ht="17.399999999999999" thickTop="1" thickBot="1" x14ac:dyDescent="0.35">
      <c r="A1" s="801" t="s">
        <v>51</v>
      </c>
      <c r="B1" s="801" t="s">
        <v>193</v>
      </c>
      <c r="C1" s="804" t="s">
        <v>194</v>
      </c>
      <c r="D1" s="805"/>
      <c r="E1" s="806"/>
    </row>
    <row r="2" spans="1:5" ht="23.25" customHeight="1" thickBot="1" x14ac:dyDescent="0.35">
      <c r="A2" s="803"/>
      <c r="B2" s="803"/>
      <c r="C2" s="67" t="s">
        <v>195</v>
      </c>
      <c r="D2" s="66" t="s">
        <v>13</v>
      </c>
      <c r="E2" s="66" t="s">
        <v>5</v>
      </c>
    </row>
    <row r="3" spans="1:5" ht="39.75" customHeight="1" thickBot="1" x14ac:dyDescent="0.35">
      <c r="A3" s="802"/>
      <c r="B3" s="802"/>
      <c r="C3" s="65" t="s">
        <v>196</v>
      </c>
      <c r="D3" s="65" t="s">
        <v>197</v>
      </c>
      <c r="E3" s="65" t="s">
        <v>198</v>
      </c>
    </row>
    <row r="4" spans="1:5" ht="15.6" thickTop="1" thickBot="1" x14ac:dyDescent="0.35">
      <c r="A4" s="807" t="s">
        <v>199</v>
      </c>
      <c r="B4" s="64" t="s">
        <v>200</v>
      </c>
      <c r="C4" s="63">
        <v>6.11</v>
      </c>
      <c r="D4" s="63">
        <v>1.5</v>
      </c>
      <c r="E4" s="63">
        <v>4.6100000000000003</v>
      </c>
    </row>
    <row r="5" spans="1:5" ht="15" thickBot="1" x14ac:dyDescent="0.35">
      <c r="A5" s="808"/>
      <c r="B5" s="62" t="s">
        <v>201</v>
      </c>
      <c r="C5" s="61">
        <v>6.81</v>
      </c>
      <c r="D5" s="61">
        <v>1.5</v>
      </c>
      <c r="E5" s="61">
        <v>5.31</v>
      </c>
    </row>
    <row r="6" spans="1:5" ht="15.6" thickTop="1" thickBot="1" x14ac:dyDescent="0.35">
      <c r="A6" s="801" t="s">
        <v>202</v>
      </c>
      <c r="B6" s="60" t="s">
        <v>200</v>
      </c>
      <c r="C6" s="59">
        <v>8</v>
      </c>
      <c r="D6" s="59">
        <v>1</v>
      </c>
      <c r="E6" s="59">
        <v>7</v>
      </c>
    </row>
    <row r="7" spans="1:5" ht="15" thickBot="1" x14ac:dyDescent="0.35">
      <c r="A7" s="803"/>
      <c r="B7" s="58" t="s">
        <v>203</v>
      </c>
      <c r="C7" s="59">
        <v>25</v>
      </c>
      <c r="D7" s="59">
        <v>1</v>
      </c>
      <c r="E7" s="59">
        <v>24</v>
      </c>
    </row>
    <row r="8" spans="1:5" ht="15" thickBot="1" x14ac:dyDescent="0.35">
      <c r="A8" s="802"/>
      <c r="B8" s="57" t="s">
        <v>204</v>
      </c>
      <c r="C8" s="56">
        <v>25</v>
      </c>
      <c r="D8" s="56">
        <v>1</v>
      </c>
      <c r="E8" s="56">
        <v>24</v>
      </c>
    </row>
    <row r="9" spans="1:5" ht="15.6" thickTop="1" thickBot="1" x14ac:dyDescent="0.35">
      <c r="A9" s="801" t="s">
        <v>205</v>
      </c>
      <c r="B9" s="55" t="s">
        <v>206</v>
      </c>
      <c r="C9" s="63">
        <v>17.63</v>
      </c>
      <c r="D9" s="63">
        <v>5</v>
      </c>
      <c r="E9" s="63">
        <v>12.63</v>
      </c>
    </row>
    <row r="10" spans="1:5" ht="15" thickBot="1" x14ac:dyDescent="0.35">
      <c r="A10" s="802"/>
      <c r="B10" s="54" t="s">
        <v>207</v>
      </c>
      <c r="C10" s="61">
        <v>70.78</v>
      </c>
      <c r="D10" s="61">
        <v>5</v>
      </c>
      <c r="E10" s="61">
        <v>65.78</v>
      </c>
    </row>
    <row r="11" spans="1:5" ht="15" thickTop="1" x14ac:dyDescent="0.3"/>
    <row r="12" spans="1:5" x14ac:dyDescent="0.3">
      <c r="A12" s="3" t="s">
        <v>28</v>
      </c>
    </row>
  </sheetData>
  <mergeCells count="6">
    <mergeCell ref="A9:A10"/>
    <mergeCell ref="A1:A3"/>
    <mergeCell ref="B1:B3"/>
    <mergeCell ref="C1:E1"/>
    <mergeCell ref="A4:A5"/>
    <mergeCell ref="A6:A8"/>
  </mergeCells>
  <hyperlinks>
    <hyperlink ref="A12" location="TRM_MCS_measures!A1" display="Return To TRM_MCS_Measur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10"/>
  <sheetViews>
    <sheetView workbookViewId="0"/>
  </sheetViews>
  <sheetFormatPr defaultRowHeight="14.4" x14ac:dyDescent="0.3"/>
  <cols>
    <col min="1" max="1" width="31.6640625" customWidth="1"/>
    <col min="2" max="2" width="34.88671875" customWidth="1"/>
    <col min="3" max="3" width="26" customWidth="1"/>
    <col min="4" max="4" width="15.5546875" customWidth="1"/>
  </cols>
  <sheetData>
    <row r="1" spans="1:3" ht="15" thickBot="1" x14ac:dyDescent="0.35"/>
    <row r="2" spans="1:3" ht="15" thickBot="1" x14ac:dyDescent="0.35">
      <c r="A2" s="68" t="s">
        <v>208</v>
      </c>
      <c r="B2" s="53" t="s">
        <v>209</v>
      </c>
      <c r="C2" s="53" t="s">
        <v>5</v>
      </c>
    </row>
    <row r="3" spans="1:3" ht="15" thickBot="1" x14ac:dyDescent="0.35">
      <c r="A3" s="809" t="s">
        <v>210</v>
      </c>
      <c r="B3" s="810"/>
      <c r="C3" s="811"/>
    </row>
    <row r="4" spans="1:3" ht="15" thickBot="1" x14ac:dyDescent="0.35">
      <c r="A4" s="52" t="s">
        <v>211</v>
      </c>
      <c r="B4" s="51">
        <v>460</v>
      </c>
      <c r="C4" s="50">
        <v>195</v>
      </c>
    </row>
    <row r="5" spans="1:3" ht="15" thickBot="1" x14ac:dyDescent="0.35">
      <c r="A5" s="52" t="s">
        <v>212</v>
      </c>
      <c r="B5" s="51">
        <v>620</v>
      </c>
      <c r="C5" s="50">
        <v>310</v>
      </c>
    </row>
    <row r="6" spans="1:3" ht="15" thickBot="1" x14ac:dyDescent="0.35">
      <c r="A6" s="52" t="s">
        <v>213</v>
      </c>
      <c r="B6" s="51">
        <v>850</v>
      </c>
      <c r="C6" s="50">
        <v>520</v>
      </c>
    </row>
    <row r="7" spans="1:3" ht="15" thickBot="1" x14ac:dyDescent="0.35">
      <c r="A7" s="809" t="s">
        <v>214</v>
      </c>
      <c r="B7" s="810"/>
      <c r="C7" s="811"/>
    </row>
    <row r="8" spans="1:3" ht="15" thickBot="1" x14ac:dyDescent="0.35">
      <c r="A8" s="52" t="s">
        <v>215</v>
      </c>
      <c r="B8" s="51">
        <v>250</v>
      </c>
      <c r="C8" s="51">
        <v>120</v>
      </c>
    </row>
    <row r="10" spans="1:3" x14ac:dyDescent="0.3">
      <c r="A10" s="3" t="s">
        <v>28</v>
      </c>
    </row>
  </sheetData>
  <mergeCells count="2">
    <mergeCell ref="A3:C3"/>
    <mergeCell ref="A7:C7"/>
  </mergeCells>
  <hyperlinks>
    <hyperlink ref="A10" location="TRM_MCS_measures!A1" display="Return To TRM_MCS_Measure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rgb="FFC00000"/>
  </sheetPr>
  <dimension ref="A1:V88"/>
  <sheetViews>
    <sheetView workbookViewId="0">
      <selection activeCell="O5" sqref="O5"/>
    </sheetView>
  </sheetViews>
  <sheetFormatPr defaultRowHeight="14.4" x14ac:dyDescent="0.3"/>
  <cols>
    <col min="4" max="4" width="20.88671875" customWidth="1"/>
    <col min="5" max="5" width="11.44140625" customWidth="1"/>
    <col min="10" max="10" width="13.33203125" customWidth="1"/>
    <col min="11" max="11" width="14.5546875" customWidth="1"/>
    <col min="15" max="15" width="30.5546875" customWidth="1"/>
    <col min="16" max="16" width="29.5546875" customWidth="1"/>
    <col min="17" max="17" width="53.5546875" customWidth="1"/>
    <col min="18" max="18" width="34.88671875" customWidth="1"/>
    <col min="19" max="19" width="32.88671875" customWidth="1"/>
    <col min="20" max="20" width="17" customWidth="1"/>
    <col min="21" max="21" width="23.109375" customWidth="1"/>
    <col min="22" max="22" width="32" customWidth="1"/>
    <col min="23" max="23" width="27.6640625" customWidth="1"/>
  </cols>
  <sheetData>
    <row r="1" spans="1:22" ht="52.2" x14ac:dyDescent="0.3">
      <c r="A1" s="22" t="s">
        <v>45</v>
      </c>
      <c r="B1" s="33" t="s">
        <v>46</v>
      </c>
      <c r="C1" s="33" t="s">
        <v>14</v>
      </c>
      <c r="D1" s="33" t="s">
        <v>47</v>
      </c>
      <c r="E1" s="33" t="s">
        <v>48</v>
      </c>
      <c r="F1" s="33" t="s">
        <v>49</v>
      </c>
      <c r="G1" s="33" t="s">
        <v>50</v>
      </c>
      <c r="H1" s="33" t="s">
        <v>51</v>
      </c>
      <c r="I1" s="33" t="s">
        <v>52</v>
      </c>
      <c r="J1" s="33" t="s">
        <v>53</v>
      </c>
      <c r="K1" s="33" t="s">
        <v>158</v>
      </c>
      <c r="L1" s="27" t="s">
        <v>159</v>
      </c>
      <c r="O1" s="37" t="s">
        <v>36</v>
      </c>
      <c r="P1" s="41"/>
      <c r="Q1" s="36"/>
      <c r="R1" s="36"/>
      <c r="S1" s="36"/>
      <c r="T1" s="36"/>
      <c r="U1" s="35"/>
      <c r="V1" s="35"/>
    </row>
    <row r="2" spans="1:22" ht="31.8" x14ac:dyDescent="0.3">
      <c r="A2" s="32" t="s">
        <v>54</v>
      </c>
      <c r="B2" s="32" t="s">
        <v>55</v>
      </c>
      <c r="C2" s="32" t="s">
        <v>56</v>
      </c>
      <c r="D2" s="21" t="s">
        <v>58</v>
      </c>
      <c r="E2" s="32" t="s">
        <v>59</v>
      </c>
      <c r="F2" s="32" t="s">
        <v>57</v>
      </c>
      <c r="G2" s="32" t="s">
        <v>60</v>
      </c>
      <c r="H2" s="32" t="s">
        <v>61</v>
      </c>
      <c r="I2" s="32" t="s">
        <v>62</v>
      </c>
      <c r="J2" s="32" t="s">
        <v>63</v>
      </c>
      <c r="K2" s="20">
        <v>1.104279304943808</v>
      </c>
      <c r="L2" s="29">
        <f>K2*Inflation!$D$8</f>
        <v>1.3355897676552602</v>
      </c>
      <c r="O2" s="38" t="s">
        <v>37</v>
      </c>
      <c r="P2" s="38" t="s">
        <v>38</v>
      </c>
      <c r="Q2" s="38" t="s">
        <v>39</v>
      </c>
      <c r="R2" s="38" t="s">
        <v>13</v>
      </c>
      <c r="S2" s="40" t="s">
        <v>40</v>
      </c>
      <c r="T2" s="28" t="s">
        <v>41</v>
      </c>
      <c r="U2" s="40" t="s">
        <v>42</v>
      </c>
      <c r="V2" s="39" t="s">
        <v>43</v>
      </c>
    </row>
    <row r="3" spans="1:22" ht="78.75" customHeight="1" x14ac:dyDescent="0.3">
      <c r="A3" s="32" t="s">
        <v>54</v>
      </c>
      <c r="B3" s="32" t="s">
        <v>55</v>
      </c>
      <c r="C3" s="32" t="s">
        <v>56</v>
      </c>
      <c r="D3" s="21" t="s">
        <v>64</v>
      </c>
      <c r="E3" s="32" t="s">
        <v>59</v>
      </c>
      <c r="F3" s="32" t="s">
        <v>57</v>
      </c>
      <c r="G3" s="32" t="s">
        <v>60</v>
      </c>
      <c r="H3" s="32" t="s">
        <v>61</v>
      </c>
      <c r="I3" s="32" t="s">
        <v>65</v>
      </c>
      <c r="J3" s="32" t="s">
        <v>63</v>
      </c>
      <c r="K3" s="20">
        <v>0</v>
      </c>
      <c r="L3" s="29">
        <f>K3*Inflation!$D$8</f>
        <v>0</v>
      </c>
      <c r="O3" s="31" t="s">
        <v>44</v>
      </c>
      <c r="P3" s="30" t="s">
        <v>161</v>
      </c>
      <c r="Q3" s="31" t="s">
        <v>162</v>
      </c>
      <c r="R3" s="31" t="s">
        <v>163</v>
      </c>
      <c r="S3" s="31" t="s">
        <v>164</v>
      </c>
      <c r="T3" s="24" t="s">
        <v>165</v>
      </c>
      <c r="U3" s="24" t="s">
        <v>166</v>
      </c>
      <c r="V3" s="24" t="s">
        <v>167</v>
      </c>
    </row>
    <row r="4" spans="1:22" ht="31.8" x14ac:dyDescent="0.3">
      <c r="A4" s="32" t="s">
        <v>54</v>
      </c>
      <c r="B4" s="32" t="s">
        <v>55</v>
      </c>
      <c r="C4" s="32" t="s">
        <v>56</v>
      </c>
      <c r="D4" s="21" t="s">
        <v>66</v>
      </c>
      <c r="E4" s="32" t="s">
        <v>59</v>
      </c>
      <c r="F4" s="32" t="s">
        <v>57</v>
      </c>
      <c r="G4" s="32" t="s">
        <v>60</v>
      </c>
      <c r="H4" s="32" t="s">
        <v>61</v>
      </c>
      <c r="I4" s="32" t="s">
        <v>67</v>
      </c>
      <c r="J4" s="32" t="s">
        <v>63</v>
      </c>
      <c r="K4" s="20">
        <v>0</v>
      </c>
      <c r="L4" s="29">
        <f>K4*Inflation!$D$8</f>
        <v>0</v>
      </c>
    </row>
    <row r="5" spans="1:22" ht="52.2" x14ac:dyDescent="0.3">
      <c r="A5" s="32" t="s">
        <v>54</v>
      </c>
      <c r="B5" s="32" t="s">
        <v>55</v>
      </c>
      <c r="C5" s="32" t="s">
        <v>56</v>
      </c>
      <c r="D5" s="21" t="s">
        <v>68</v>
      </c>
      <c r="E5" s="32" t="s">
        <v>59</v>
      </c>
      <c r="F5" s="32" t="s">
        <v>57</v>
      </c>
      <c r="G5" s="32" t="s">
        <v>60</v>
      </c>
      <c r="H5" s="32" t="s">
        <v>69</v>
      </c>
      <c r="I5" s="32" t="s">
        <v>62</v>
      </c>
      <c r="J5" s="32" t="s">
        <v>63</v>
      </c>
      <c r="K5" s="20">
        <v>0.62465266888585269</v>
      </c>
      <c r="L5" s="29">
        <f>K5*Inflation!$D$8</f>
        <v>0.75549700983026846</v>
      </c>
    </row>
    <row r="6" spans="1:22" ht="52.2" x14ac:dyDescent="0.3">
      <c r="A6" s="32" t="s">
        <v>54</v>
      </c>
      <c r="B6" s="32" t="s">
        <v>55</v>
      </c>
      <c r="C6" s="32" t="s">
        <v>56</v>
      </c>
      <c r="D6" s="21" t="s">
        <v>70</v>
      </c>
      <c r="E6" s="32" t="s">
        <v>59</v>
      </c>
      <c r="F6" s="32" t="s">
        <v>57</v>
      </c>
      <c r="G6" s="32" t="s">
        <v>60</v>
      </c>
      <c r="H6" s="32" t="s">
        <v>69</v>
      </c>
      <c r="I6" s="32" t="s">
        <v>65</v>
      </c>
      <c r="J6" s="32" t="s">
        <v>63</v>
      </c>
      <c r="K6" s="20">
        <v>0.80252557616155662</v>
      </c>
      <c r="L6" s="29">
        <f>K6*Inflation!$D$8</f>
        <v>0.97062848412029124</v>
      </c>
    </row>
    <row r="7" spans="1:22" ht="52.2" x14ac:dyDescent="0.3">
      <c r="A7" s="32" t="s">
        <v>54</v>
      </c>
      <c r="B7" s="32" t="s">
        <v>55</v>
      </c>
      <c r="C7" s="32" t="s">
        <v>56</v>
      </c>
      <c r="D7" s="21" t="s">
        <v>71</v>
      </c>
      <c r="E7" s="32" t="s">
        <v>59</v>
      </c>
      <c r="F7" s="32" t="s">
        <v>57</v>
      </c>
      <c r="G7" s="32" t="s">
        <v>60</v>
      </c>
      <c r="H7" s="32" t="s">
        <v>69</v>
      </c>
      <c r="I7" s="32" t="s">
        <v>67</v>
      </c>
      <c r="J7" s="32" t="s">
        <v>63</v>
      </c>
      <c r="K7" s="20">
        <v>0.44080153378228437</v>
      </c>
      <c r="L7" s="29">
        <f>K7*Inflation!$D$8</f>
        <v>0.53313506415509748</v>
      </c>
    </row>
    <row r="8" spans="1:22" ht="21.6" x14ac:dyDescent="0.3">
      <c r="A8" s="32" t="s">
        <v>54</v>
      </c>
      <c r="B8" s="32" t="s">
        <v>55</v>
      </c>
      <c r="C8" s="32" t="s">
        <v>56</v>
      </c>
      <c r="D8" s="21" t="s">
        <v>72</v>
      </c>
      <c r="E8" s="32" t="s">
        <v>59</v>
      </c>
      <c r="F8" s="32" t="s">
        <v>57</v>
      </c>
      <c r="G8" s="32" t="s">
        <v>60</v>
      </c>
      <c r="H8" s="32" t="s">
        <v>6</v>
      </c>
      <c r="I8" s="32" t="s">
        <v>62</v>
      </c>
      <c r="J8" s="32" t="s">
        <v>63</v>
      </c>
      <c r="K8" s="20">
        <v>2.4862795266351312</v>
      </c>
      <c r="L8" s="29">
        <f>K8*Inflation!$D$8</f>
        <v>3.0070739172945187</v>
      </c>
    </row>
    <row r="9" spans="1:22" ht="31.8" x14ac:dyDescent="0.3">
      <c r="A9" s="32" t="s">
        <v>54</v>
      </c>
      <c r="B9" s="32" t="s">
        <v>55</v>
      </c>
      <c r="C9" s="32" t="s">
        <v>56</v>
      </c>
      <c r="D9" s="21" t="s">
        <v>73</v>
      </c>
      <c r="E9" s="32" t="s">
        <v>59</v>
      </c>
      <c r="F9" s="32" t="s">
        <v>57</v>
      </c>
      <c r="G9" s="32" t="s">
        <v>60</v>
      </c>
      <c r="H9" s="32" t="s">
        <v>6</v>
      </c>
      <c r="I9" s="32" t="s">
        <v>65</v>
      </c>
      <c r="J9" s="32" t="s">
        <v>63</v>
      </c>
      <c r="K9" s="20">
        <v>0</v>
      </c>
      <c r="L9" s="29">
        <f>K9*Inflation!$D$8</f>
        <v>0</v>
      </c>
    </row>
    <row r="10" spans="1:22" ht="31.8" x14ac:dyDescent="0.3">
      <c r="A10" s="32" t="s">
        <v>54</v>
      </c>
      <c r="B10" s="32" t="s">
        <v>55</v>
      </c>
      <c r="C10" s="32" t="s">
        <v>56</v>
      </c>
      <c r="D10" s="21" t="s">
        <v>74</v>
      </c>
      <c r="E10" s="32" t="s">
        <v>59</v>
      </c>
      <c r="F10" s="32" t="s">
        <v>57</v>
      </c>
      <c r="G10" s="32" t="s">
        <v>60</v>
      </c>
      <c r="H10" s="32" t="s">
        <v>6</v>
      </c>
      <c r="I10" s="32" t="s">
        <v>67</v>
      </c>
      <c r="J10" s="32" t="s">
        <v>63</v>
      </c>
      <c r="K10" s="20">
        <v>0.95427284547086533</v>
      </c>
      <c r="L10" s="29">
        <f>K10*Inflation!$D$8</f>
        <v>1.1541618522199977</v>
      </c>
    </row>
    <row r="11" spans="1:22" ht="21.6" x14ac:dyDescent="0.3">
      <c r="A11" s="32" t="s">
        <v>54</v>
      </c>
      <c r="B11" s="32" t="s">
        <v>55</v>
      </c>
      <c r="C11" s="32" t="s">
        <v>56</v>
      </c>
      <c r="D11" s="21" t="s">
        <v>75</v>
      </c>
      <c r="E11" s="32" t="s">
        <v>59</v>
      </c>
      <c r="F11" s="32" t="s">
        <v>57</v>
      </c>
      <c r="G11" s="32" t="s">
        <v>60</v>
      </c>
      <c r="H11" s="32" t="s">
        <v>76</v>
      </c>
      <c r="I11" s="32" t="s">
        <v>62</v>
      </c>
      <c r="J11" s="32" t="s">
        <v>63</v>
      </c>
      <c r="K11" s="20">
        <v>0.64335491844562598</v>
      </c>
      <c r="L11" s="29">
        <f>K11*Inflation!$D$8</f>
        <v>0.77811677009593727</v>
      </c>
    </row>
    <row r="12" spans="1:22" ht="31.8" x14ac:dyDescent="0.3">
      <c r="A12" s="32" t="s">
        <v>54</v>
      </c>
      <c r="B12" s="32" t="s">
        <v>55</v>
      </c>
      <c r="C12" s="32" t="s">
        <v>56</v>
      </c>
      <c r="D12" s="21" t="s">
        <v>77</v>
      </c>
      <c r="E12" s="32" t="s">
        <v>59</v>
      </c>
      <c r="F12" s="32" t="s">
        <v>57</v>
      </c>
      <c r="G12" s="32" t="s">
        <v>60</v>
      </c>
      <c r="H12" s="32" t="s">
        <v>76</v>
      </c>
      <c r="I12" s="32" t="s">
        <v>65</v>
      </c>
      <c r="J12" s="32" t="s">
        <v>63</v>
      </c>
      <c r="K12" s="20">
        <v>0.92472333972651999</v>
      </c>
      <c r="L12" s="29">
        <f>K12*Inflation!$D$8</f>
        <v>1.1184226897320921</v>
      </c>
    </row>
    <row r="13" spans="1:22" ht="31.8" x14ac:dyDescent="0.3">
      <c r="A13" s="32" t="s">
        <v>54</v>
      </c>
      <c r="B13" s="32" t="s">
        <v>55</v>
      </c>
      <c r="C13" s="32" t="s">
        <v>56</v>
      </c>
      <c r="D13" s="21" t="s">
        <v>78</v>
      </c>
      <c r="E13" s="32" t="s">
        <v>59</v>
      </c>
      <c r="F13" s="32" t="s">
        <v>57</v>
      </c>
      <c r="G13" s="32" t="s">
        <v>60</v>
      </c>
      <c r="H13" s="32" t="s">
        <v>76</v>
      </c>
      <c r="I13" s="32" t="s">
        <v>67</v>
      </c>
      <c r="J13" s="32" t="s">
        <v>63</v>
      </c>
      <c r="K13" s="20">
        <v>0</v>
      </c>
      <c r="L13" s="29">
        <f>K13*Inflation!$D$8</f>
        <v>0</v>
      </c>
    </row>
    <row r="14" spans="1:22" ht="31.8" x14ac:dyDescent="0.3">
      <c r="A14" s="32" t="s">
        <v>54</v>
      </c>
      <c r="B14" s="32" t="s">
        <v>55</v>
      </c>
      <c r="C14" s="32" t="s">
        <v>56</v>
      </c>
      <c r="D14" s="21" t="s">
        <v>79</v>
      </c>
      <c r="E14" s="32" t="s">
        <v>59</v>
      </c>
      <c r="F14" s="32" t="s">
        <v>57</v>
      </c>
      <c r="G14" s="32" t="s">
        <v>54</v>
      </c>
      <c r="H14" s="32" t="s">
        <v>61</v>
      </c>
      <c r="I14" s="32" t="s">
        <v>62</v>
      </c>
      <c r="J14" s="32" t="s">
        <v>80</v>
      </c>
      <c r="K14" s="20">
        <v>1.9056345145744309</v>
      </c>
      <c r="L14" s="29">
        <f>K14*Inflation!$D$8</f>
        <v>2.3048027316656268</v>
      </c>
    </row>
    <row r="15" spans="1:22" ht="42" x14ac:dyDescent="0.3">
      <c r="A15" s="32" t="s">
        <v>54</v>
      </c>
      <c r="B15" s="32" t="s">
        <v>55</v>
      </c>
      <c r="C15" s="32" t="s">
        <v>56</v>
      </c>
      <c r="D15" s="21" t="s">
        <v>81</v>
      </c>
      <c r="E15" s="32" t="s">
        <v>59</v>
      </c>
      <c r="F15" s="32" t="s">
        <v>57</v>
      </c>
      <c r="G15" s="32" t="s">
        <v>54</v>
      </c>
      <c r="H15" s="32" t="s">
        <v>61</v>
      </c>
      <c r="I15" s="32" t="s">
        <v>65</v>
      </c>
      <c r="J15" s="32" t="s">
        <v>80</v>
      </c>
      <c r="K15" s="20">
        <v>0</v>
      </c>
      <c r="L15" s="29">
        <f>K15*Inflation!$D$8</f>
        <v>0</v>
      </c>
    </row>
    <row r="16" spans="1:22" ht="42" x14ac:dyDescent="0.3">
      <c r="A16" s="32" t="s">
        <v>54</v>
      </c>
      <c r="B16" s="32" t="s">
        <v>55</v>
      </c>
      <c r="C16" s="32" t="s">
        <v>56</v>
      </c>
      <c r="D16" s="21" t="s">
        <v>82</v>
      </c>
      <c r="E16" s="32" t="s">
        <v>59</v>
      </c>
      <c r="F16" s="32" t="s">
        <v>57</v>
      </c>
      <c r="G16" s="32" t="s">
        <v>54</v>
      </c>
      <c r="H16" s="32" t="s">
        <v>61</v>
      </c>
      <c r="I16" s="32" t="s">
        <v>67</v>
      </c>
      <c r="J16" s="32" t="s">
        <v>80</v>
      </c>
      <c r="K16" s="20">
        <v>0</v>
      </c>
      <c r="L16" s="29">
        <f>K16*Inflation!$D$8</f>
        <v>0</v>
      </c>
    </row>
    <row r="17" spans="1:12" ht="52.2" x14ac:dyDescent="0.3">
      <c r="A17" s="32" t="s">
        <v>54</v>
      </c>
      <c r="B17" s="32" t="s">
        <v>55</v>
      </c>
      <c r="C17" s="32" t="s">
        <v>56</v>
      </c>
      <c r="D17" s="21" t="s">
        <v>83</v>
      </c>
      <c r="E17" s="32" t="s">
        <v>59</v>
      </c>
      <c r="F17" s="32" t="s">
        <v>57</v>
      </c>
      <c r="G17" s="32" t="s">
        <v>54</v>
      </c>
      <c r="H17" s="32" t="s">
        <v>69</v>
      </c>
      <c r="I17" s="32" t="s">
        <v>62</v>
      </c>
      <c r="J17" s="32" t="s">
        <v>80</v>
      </c>
      <c r="K17" s="20">
        <v>1.3863276975909309</v>
      </c>
      <c r="L17" s="29">
        <f>K17*Inflation!$D$8</f>
        <v>1.6767180904596788</v>
      </c>
    </row>
    <row r="18" spans="1:12" ht="52.2" x14ac:dyDescent="0.3">
      <c r="A18" s="32" t="s">
        <v>54</v>
      </c>
      <c r="B18" s="32" t="s">
        <v>55</v>
      </c>
      <c r="C18" s="32" t="s">
        <v>56</v>
      </c>
      <c r="D18" s="21" t="s">
        <v>84</v>
      </c>
      <c r="E18" s="32" t="s">
        <v>59</v>
      </c>
      <c r="F18" s="32" t="s">
        <v>57</v>
      </c>
      <c r="G18" s="32" t="s">
        <v>54</v>
      </c>
      <c r="H18" s="32" t="s">
        <v>69</v>
      </c>
      <c r="I18" s="32" t="s">
        <v>65</v>
      </c>
      <c r="J18" s="32" t="s">
        <v>80</v>
      </c>
      <c r="K18" s="20">
        <v>1.3326912125764629</v>
      </c>
      <c r="L18" s="29">
        <f>K18*Inflation!$D$8</f>
        <v>1.611846512918014</v>
      </c>
    </row>
    <row r="19" spans="1:12" ht="52.2" x14ac:dyDescent="0.3">
      <c r="A19" s="32" t="s">
        <v>54</v>
      </c>
      <c r="B19" s="32" t="s">
        <v>55</v>
      </c>
      <c r="C19" s="32" t="s">
        <v>56</v>
      </c>
      <c r="D19" s="21" t="s">
        <v>85</v>
      </c>
      <c r="E19" s="32" t="s">
        <v>59</v>
      </c>
      <c r="F19" s="32" t="s">
        <v>57</v>
      </c>
      <c r="G19" s="32" t="s">
        <v>54</v>
      </c>
      <c r="H19" s="32" t="s">
        <v>69</v>
      </c>
      <c r="I19" s="32" t="s">
        <v>67</v>
      </c>
      <c r="J19" s="32" t="s">
        <v>80</v>
      </c>
      <c r="K19" s="20">
        <v>0.53185090840134486</v>
      </c>
      <c r="L19" s="29">
        <f>K19*Inflation!$D$8</f>
        <v>0.64325631024583685</v>
      </c>
    </row>
    <row r="20" spans="1:12" ht="31.8" x14ac:dyDescent="0.3">
      <c r="A20" s="32" t="s">
        <v>54</v>
      </c>
      <c r="B20" s="32" t="s">
        <v>55</v>
      </c>
      <c r="C20" s="32" t="s">
        <v>56</v>
      </c>
      <c r="D20" s="21" t="s">
        <v>86</v>
      </c>
      <c r="E20" s="32" t="s">
        <v>59</v>
      </c>
      <c r="F20" s="32" t="s">
        <v>57</v>
      </c>
      <c r="G20" s="32" t="s">
        <v>54</v>
      </c>
      <c r="H20" s="32" t="s">
        <v>6</v>
      </c>
      <c r="I20" s="32" t="s">
        <v>62</v>
      </c>
      <c r="J20" s="32" t="s">
        <v>80</v>
      </c>
      <c r="K20" s="20">
        <v>2.2487213027450581</v>
      </c>
      <c r="L20" s="29">
        <f>K20*Inflation!$D$8</f>
        <v>2.7197550011204226</v>
      </c>
    </row>
    <row r="21" spans="1:12" ht="31.8" x14ac:dyDescent="0.3">
      <c r="A21" s="32" t="s">
        <v>54</v>
      </c>
      <c r="B21" s="32" t="s">
        <v>55</v>
      </c>
      <c r="C21" s="32" t="s">
        <v>56</v>
      </c>
      <c r="D21" s="21" t="s">
        <v>87</v>
      </c>
      <c r="E21" s="32" t="s">
        <v>59</v>
      </c>
      <c r="F21" s="32" t="s">
        <v>57</v>
      </c>
      <c r="G21" s="32" t="s">
        <v>54</v>
      </c>
      <c r="H21" s="32" t="s">
        <v>6</v>
      </c>
      <c r="I21" s="32" t="s">
        <v>65</v>
      </c>
      <c r="J21" s="32" t="s">
        <v>80</v>
      </c>
      <c r="K21" s="20">
        <v>0</v>
      </c>
      <c r="L21" s="29">
        <f>K21*Inflation!$D$8</f>
        <v>0</v>
      </c>
    </row>
    <row r="22" spans="1:12" ht="31.8" x14ac:dyDescent="0.3">
      <c r="A22" s="32" t="s">
        <v>54</v>
      </c>
      <c r="B22" s="32" t="s">
        <v>55</v>
      </c>
      <c r="C22" s="32" t="s">
        <v>56</v>
      </c>
      <c r="D22" s="21" t="s">
        <v>88</v>
      </c>
      <c r="E22" s="32" t="s">
        <v>59</v>
      </c>
      <c r="F22" s="32" t="s">
        <v>57</v>
      </c>
      <c r="G22" s="32" t="s">
        <v>54</v>
      </c>
      <c r="H22" s="32" t="s">
        <v>6</v>
      </c>
      <c r="I22" s="32" t="s">
        <v>67</v>
      </c>
      <c r="J22" s="32" t="s">
        <v>80</v>
      </c>
      <c r="K22" s="20">
        <v>0.64467857654570793</v>
      </c>
      <c r="L22" s="29">
        <f>K22*Inflation!$D$8</f>
        <v>0.77971769135419933</v>
      </c>
    </row>
    <row r="23" spans="1:12" ht="31.8" x14ac:dyDescent="0.3">
      <c r="A23" s="32" t="s">
        <v>54</v>
      </c>
      <c r="B23" s="32" t="s">
        <v>55</v>
      </c>
      <c r="C23" s="32" t="s">
        <v>56</v>
      </c>
      <c r="D23" s="21" t="s">
        <v>89</v>
      </c>
      <c r="E23" s="32" t="s">
        <v>59</v>
      </c>
      <c r="F23" s="32" t="s">
        <v>57</v>
      </c>
      <c r="G23" s="32" t="s">
        <v>54</v>
      </c>
      <c r="H23" s="32" t="s">
        <v>76</v>
      </c>
      <c r="I23" s="32" t="s">
        <v>62</v>
      </c>
      <c r="J23" s="32" t="s">
        <v>80</v>
      </c>
      <c r="K23" s="20">
        <v>8.4601271050911253E-2</v>
      </c>
      <c r="L23" s="29">
        <f>K23*Inflation!$D$8</f>
        <v>0.10232247533786386</v>
      </c>
    </row>
    <row r="24" spans="1:12" ht="31.8" x14ac:dyDescent="0.3">
      <c r="A24" s="32" t="s">
        <v>54</v>
      </c>
      <c r="B24" s="32" t="s">
        <v>55</v>
      </c>
      <c r="C24" s="32" t="s">
        <v>56</v>
      </c>
      <c r="D24" s="21" t="s">
        <v>90</v>
      </c>
      <c r="E24" s="32" t="s">
        <v>59</v>
      </c>
      <c r="F24" s="32" t="s">
        <v>57</v>
      </c>
      <c r="G24" s="32" t="s">
        <v>54</v>
      </c>
      <c r="H24" s="32" t="s">
        <v>76</v>
      </c>
      <c r="I24" s="32" t="s">
        <v>65</v>
      </c>
      <c r="J24" s="32" t="s">
        <v>80</v>
      </c>
      <c r="K24" s="20">
        <v>0</v>
      </c>
      <c r="L24" s="29">
        <f>K24*Inflation!$D$8</f>
        <v>0</v>
      </c>
    </row>
    <row r="25" spans="1:12" ht="31.8" x14ac:dyDescent="0.3">
      <c r="A25" s="32" t="s">
        <v>54</v>
      </c>
      <c r="B25" s="32" t="s">
        <v>55</v>
      </c>
      <c r="C25" s="32" t="s">
        <v>56</v>
      </c>
      <c r="D25" s="21" t="s">
        <v>91</v>
      </c>
      <c r="E25" s="32" t="s">
        <v>59</v>
      </c>
      <c r="F25" s="32" t="s">
        <v>57</v>
      </c>
      <c r="G25" s="32" t="s">
        <v>54</v>
      </c>
      <c r="H25" s="32" t="s">
        <v>76</v>
      </c>
      <c r="I25" s="32" t="s">
        <v>67</v>
      </c>
      <c r="J25" s="32" t="s">
        <v>80</v>
      </c>
      <c r="K25" s="20">
        <v>0.13737457097564265</v>
      </c>
      <c r="L25" s="29">
        <f>K25*Inflation!$D$8</f>
        <v>0.1661500586941054</v>
      </c>
    </row>
    <row r="26" spans="1:12" ht="31.8" x14ac:dyDescent="0.3">
      <c r="A26" s="32" t="s">
        <v>54</v>
      </c>
      <c r="B26" s="32" t="s">
        <v>55</v>
      </c>
      <c r="C26" s="32" t="s">
        <v>56</v>
      </c>
      <c r="D26" s="21" t="s">
        <v>92</v>
      </c>
      <c r="E26" s="32" t="s">
        <v>59</v>
      </c>
      <c r="F26" s="32" t="s">
        <v>57</v>
      </c>
      <c r="G26" s="32" t="s">
        <v>54</v>
      </c>
      <c r="H26" s="32" t="s">
        <v>61</v>
      </c>
      <c r="I26" s="32" t="s">
        <v>62</v>
      </c>
      <c r="J26" s="32" t="s">
        <v>93</v>
      </c>
      <c r="K26" s="20">
        <v>1.9056345145744309</v>
      </c>
      <c r="L26" s="29">
        <f>K26*Inflation!$D$8</f>
        <v>2.3048027316656268</v>
      </c>
    </row>
    <row r="27" spans="1:12" ht="31.8" x14ac:dyDescent="0.3">
      <c r="A27" s="32" t="s">
        <v>54</v>
      </c>
      <c r="B27" s="32" t="s">
        <v>55</v>
      </c>
      <c r="C27" s="32" t="s">
        <v>56</v>
      </c>
      <c r="D27" s="21" t="s">
        <v>94</v>
      </c>
      <c r="E27" s="32" t="s">
        <v>59</v>
      </c>
      <c r="F27" s="32" t="s">
        <v>57</v>
      </c>
      <c r="G27" s="32" t="s">
        <v>54</v>
      </c>
      <c r="H27" s="32" t="s">
        <v>61</v>
      </c>
      <c r="I27" s="32" t="s">
        <v>65</v>
      </c>
      <c r="J27" s="32" t="s">
        <v>93</v>
      </c>
      <c r="K27" s="20">
        <v>0</v>
      </c>
      <c r="L27" s="29">
        <f>K27*Inflation!$D$8</f>
        <v>0</v>
      </c>
    </row>
    <row r="28" spans="1:12" ht="31.8" x14ac:dyDescent="0.3">
      <c r="A28" s="32" t="s">
        <v>54</v>
      </c>
      <c r="B28" s="32" t="s">
        <v>55</v>
      </c>
      <c r="C28" s="32" t="s">
        <v>56</v>
      </c>
      <c r="D28" s="21" t="s">
        <v>95</v>
      </c>
      <c r="E28" s="32" t="s">
        <v>59</v>
      </c>
      <c r="F28" s="32" t="s">
        <v>57</v>
      </c>
      <c r="G28" s="32" t="s">
        <v>54</v>
      </c>
      <c r="H28" s="32" t="s">
        <v>61</v>
      </c>
      <c r="I28" s="32" t="s">
        <v>67</v>
      </c>
      <c r="J28" s="32" t="s">
        <v>93</v>
      </c>
      <c r="K28" s="20">
        <v>0</v>
      </c>
      <c r="L28" s="29">
        <f>K28*Inflation!$D$8</f>
        <v>0</v>
      </c>
    </row>
    <row r="29" spans="1:12" ht="52.2" x14ac:dyDescent="0.3">
      <c r="A29" s="32" t="s">
        <v>54</v>
      </c>
      <c r="B29" s="32" t="s">
        <v>55</v>
      </c>
      <c r="C29" s="32" t="s">
        <v>56</v>
      </c>
      <c r="D29" s="21" t="s">
        <v>96</v>
      </c>
      <c r="E29" s="32" t="s">
        <v>59</v>
      </c>
      <c r="F29" s="32" t="s">
        <v>57</v>
      </c>
      <c r="G29" s="32" t="s">
        <v>54</v>
      </c>
      <c r="H29" s="32" t="s">
        <v>69</v>
      </c>
      <c r="I29" s="32" t="s">
        <v>62</v>
      </c>
      <c r="J29" s="32" t="s">
        <v>93</v>
      </c>
      <c r="K29" s="20">
        <v>1.3863276975909309</v>
      </c>
      <c r="L29" s="29">
        <f>K29*Inflation!$D$8</f>
        <v>1.6767180904596788</v>
      </c>
    </row>
    <row r="30" spans="1:12" ht="52.2" x14ac:dyDescent="0.3">
      <c r="A30" s="32" t="s">
        <v>54</v>
      </c>
      <c r="B30" s="32" t="s">
        <v>55</v>
      </c>
      <c r="C30" s="32" t="s">
        <v>56</v>
      </c>
      <c r="D30" s="21" t="s">
        <v>97</v>
      </c>
      <c r="E30" s="32" t="s">
        <v>59</v>
      </c>
      <c r="F30" s="32" t="s">
        <v>57</v>
      </c>
      <c r="G30" s="32" t="s">
        <v>54</v>
      </c>
      <c r="H30" s="32" t="s">
        <v>69</v>
      </c>
      <c r="I30" s="32" t="s">
        <v>65</v>
      </c>
      <c r="J30" s="32" t="s">
        <v>93</v>
      </c>
      <c r="K30" s="20">
        <v>1.3326912125764629</v>
      </c>
      <c r="L30" s="29">
        <f>K30*Inflation!$D$8</f>
        <v>1.611846512918014</v>
      </c>
    </row>
    <row r="31" spans="1:12" ht="52.2" x14ac:dyDescent="0.3">
      <c r="A31" s="32" t="s">
        <v>54</v>
      </c>
      <c r="B31" s="32" t="s">
        <v>55</v>
      </c>
      <c r="C31" s="32" t="s">
        <v>56</v>
      </c>
      <c r="D31" s="21" t="s">
        <v>98</v>
      </c>
      <c r="E31" s="32" t="s">
        <v>59</v>
      </c>
      <c r="F31" s="32" t="s">
        <v>57</v>
      </c>
      <c r="G31" s="32" t="s">
        <v>54</v>
      </c>
      <c r="H31" s="32" t="s">
        <v>69</v>
      </c>
      <c r="I31" s="32" t="s">
        <v>67</v>
      </c>
      <c r="J31" s="32" t="s">
        <v>93</v>
      </c>
      <c r="K31" s="20">
        <v>0.53185090840134486</v>
      </c>
      <c r="L31" s="29">
        <f>K31*Inflation!$D$8</f>
        <v>0.64325631024583685</v>
      </c>
    </row>
    <row r="32" spans="1:12" ht="31.8" x14ac:dyDescent="0.3">
      <c r="A32" s="32" t="s">
        <v>54</v>
      </c>
      <c r="B32" s="32" t="s">
        <v>55</v>
      </c>
      <c r="C32" s="32" t="s">
        <v>56</v>
      </c>
      <c r="D32" s="21" t="s">
        <v>99</v>
      </c>
      <c r="E32" s="32" t="s">
        <v>59</v>
      </c>
      <c r="F32" s="32" t="s">
        <v>57</v>
      </c>
      <c r="G32" s="32" t="s">
        <v>54</v>
      </c>
      <c r="H32" s="32" t="s">
        <v>6</v>
      </c>
      <c r="I32" s="32" t="s">
        <v>62</v>
      </c>
      <c r="J32" s="32" t="s">
        <v>93</v>
      </c>
      <c r="K32" s="20">
        <v>2.2487213027450581</v>
      </c>
      <c r="L32" s="29">
        <f>K32*Inflation!$D$8</f>
        <v>2.7197550011204226</v>
      </c>
    </row>
    <row r="33" spans="1:12" ht="31.8" x14ac:dyDescent="0.3">
      <c r="A33" s="32" t="s">
        <v>54</v>
      </c>
      <c r="B33" s="32" t="s">
        <v>55</v>
      </c>
      <c r="C33" s="32" t="s">
        <v>56</v>
      </c>
      <c r="D33" s="21" t="s">
        <v>100</v>
      </c>
      <c r="E33" s="32" t="s">
        <v>59</v>
      </c>
      <c r="F33" s="32" t="s">
        <v>57</v>
      </c>
      <c r="G33" s="32" t="s">
        <v>54</v>
      </c>
      <c r="H33" s="32" t="s">
        <v>6</v>
      </c>
      <c r="I33" s="32" t="s">
        <v>65</v>
      </c>
      <c r="J33" s="32" t="s">
        <v>93</v>
      </c>
      <c r="K33" s="20">
        <v>0</v>
      </c>
      <c r="L33" s="29">
        <f>K33*Inflation!$D$8</f>
        <v>0</v>
      </c>
    </row>
    <row r="34" spans="1:12" ht="31.8" x14ac:dyDescent="0.3">
      <c r="A34" s="32" t="s">
        <v>54</v>
      </c>
      <c r="B34" s="32" t="s">
        <v>55</v>
      </c>
      <c r="C34" s="32" t="s">
        <v>56</v>
      </c>
      <c r="D34" s="21" t="s">
        <v>101</v>
      </c>
      <c r="E34" s="32" t="s">
        <v>59</v>
      </c>
      <c r="F34" s="32" t="s">
        <v>57</v>
      </c>
      <c r="G34" s="32" t="s">
        <v>54</v>
      </c>
      <c r="H34" s="32" t="s">
        <v>6</v>
      </c>
      <c r="I34" s="32" t="s">
        <v>67</v>
      </c>
      <c r="J34" s="32" t="s">
        <v>93</v>
      </c>
      <c r="K34" s="20">
        <v>0.64467857654570793</v>
      </c>
      <c r="L34" s="29">
        <f>K34*Inflation!$D$8</f>
        <v>0.77971769135419933</v>
      </c>
    </row>
    <row r="35" spans="1:12" ht="31.8" x14ac:dyDescent="0.3">
      <c r="A35" s="32" t="s">
        <v>54</v>
      </c>
      <c r="B35" s="32" t="s">
        <v>55</v>
      </c>
      <c r="C35" s="32" t="s">
        <v>56</v>
      </c>
      <c r="D35" s="21" t="s">
        <v>102</v>
      </c>
      <c r="E35" s="32" t="s">
        <v>59</v>
      </c>
      <c r="F35" s="32" t="s">
        <v>57</v>
      </c>
      <c r="G35" s="32" t="s">
        <v>54</v>
      </c>
      <c r="H35" s="32" t="s">
        <v>76</v>
      </c>
      <c r="I35" s="32" t="s">
        <v>62</v>
      </c>
      <c r="J35" s="32" t="s">
        <v>93</v>
      </c>
      <c r="K35" s="20">
        <v>8.4601271050911253E-2</v>
      </c>
      <c r="L35" s="29">
        <f>K35*Inflation!$D$8</f>
        <v>0.10232247533786386</v>
      </c>
    </row>
    <row r="36" spans="1:12" ht="31.8" x14ac:dyDescent="0.3">
      <c r="A36" s="32" t="s">
        <v>54</v>
      </c>
      <c r="B36" s="32" t="s">
        <v>55</v>
      </c>
      <c r="C36" s="32" t="s">
        <v>56</v>
      </c>
      <c r="D36" s="21" t="s">
        <v>103</v>
      </c>
      <c r="E36" s="32" t="s">
        <v>59</v>
      </c>
      <c r="F36" s="32" t="s">
        <v>57</v>
      </c>
      <c r="G36" s="32" t="s">
        <v>54</v>
      </c>
      <c r="H36" s="32" t="s">
        <v>76</v>
      </c>
      <c r="I36" s="32" t="s">
        <v>65</v>
      </c>
      <c r="J36" s="32" t="s">
        <v>93</v>
      </c>
      <c r="K36" s="20">
        <v>0</v>
      </c>
      <c r="L36" s="29">
        <f>K36*Inflation!$D$8</f>
        <v>0</v>
      </c>
    </row>
    <row r="37" spans="1:12" ht="31.8" x14ac:dyDescent="0.3">
      <c r="A37" s="32" t="s">
        <v>54</v>
      </c>
      <c r="B37" s="32" t="s">
        <v>55</v>
      </c>
      <c r="C37" s="32" t="s">
        <v>56</v>
      </c>
      <c r="D37" s="21" t="s">
        <v>104</v>
      </c>
      <c r="E37" s="32" t="s">
        <v>59</v>
      </c>
      <c r="F37" s="32" t="s">
        <v>57</v>
      </c>
      <c r="G37" s="32" t="s">
        <v>54</v>
      </c>
      <c r="H37" s="32" t="s">
        <v>76</v>
      </c>
      <c r="I37" s="32" t="s">
        <v>67</v>
      </c>
      <c r="J37" s="32" t="s">
        <v>93</v>
      </c>
      <c r="K37" s="20">
        <v>0.13737457097564265</v>
      </c>
      <c r="L37" s="29">
        <f>K37*Inflation!$D$8</f>
        <v>0.1661500586941054</v>
      </c>
    </row>
    <row r="38" spans="1:12" ht="31.8" x14ac:dyDescent="0.3">
      <c r="A38" s="32" t="s">
        <v>54</v>
      </c>
      <c r="B38" s="32" t="s">
        <v>55</v>
      </c>
      <c r="C38" s="32" t="s">
        <v>56</v>
      </c>
      <c r="D38" s="21" t="s">
        <v>105</v>
      </c>
      <c r="E38" s="32" t="s">
        <v>59</v>
      </c>
      <c r="F38" s="32" t="s">
        <v>57</v>
      </c>
      <c r="G38" s="32" t="s">
        <v>54</v>
      </c>
      <c r="H38" s="32" t="s">
        <v>61</v>
      </c>
      <c r="I38" s="32" t="s">
        <v>62</v>
      </c>
      <c r="J38" s="32" t="s">
        <v>106</v>
      </c>
      <c r="K38" s="20">
        <v>0.12022185699679676</v>
      </c>
      <c r="L38" s="29">
        <f>K38*Inflation!$D$8</f>
        <v>0.1454044111255044</v>
      </c>
    </row>
    <row r="39" spans="1:12" ht="31.8" x14ac:dyDescent="0.3">
      <c r="A39" s="32" t="s">
        <v>54</v>
      </c>
      <c r="B39" s="32" t="s">
        <v>55</v>
      </c>
      <c r="C39" s="32" t="s">
        <v>56</v>
      </c>
      <c r="D39" s="21" t="s">
        <v>107</v>
      </c>
      <c r="E39" s="32" t="s">
        <v>59</v>
      </c>
      <c r="F39" s="32" t="s">
        <v>57</v>
      </c>
      <c r="G39" s="32" t="s">
        <v>54</v>
      </c>
      <c r="H39" s="32" t="s">
        <v>61</v>
      </c>
      <c r="I39" s="32" t="s">
        <v>65</v>
      </c>
      <c r="J39" s="32" t="s">
        <v>106</v>
      </c>
      <c r="K39" s="20">
        <v>0</v>
      </c>
      <c r="L39" s="29">
        <f>K39*Inflation!$D$8</f>
        <v>0</v>
      </c>
    </row>
    <row r="40" spans="1:12" ht="31.8" x14ac:dyDescent="0.3">
      <c r="A40" s="32" t="s">
        <v>54</v>
      </c>
      <c r="B40" s="32" t="s">
        <v>55</v>
      </c>
      <c r="C40" s="32" t="s">
        <v>56</v>
      </c>
      <c r="D40" s="21" t="s">
        <v>108</v>
      </c>
      <c r="E40" s="32" t="s">
        <v>59</v>
      </c>
      <c r="F40" s="32" t="s">
        <v>57</v>
      </c>
      <c r="G40" s="32" t="s">
        <v>54</v>
      </c>
      <c r="H40" s="32" t="s">
        <v>61</v>
      </c>
      <c r="I40" s="32" t="s">
        <v>67</v>
      </c>
      <c r="J40" s="32" t="s">
        <v>106</v>
      </c>
      <c r="K40" s="20">
        <v>0</v>
      </c>
      <c r="L40" s="29">
        <f>K40*Inflation!$D$8</f>
        <v>0</v>
      </c>
    </row>
    <row r="41" spans="1:12" ht="52.2" x14ac:dyDescent="0.3">
      <c r="A41" s="32" t="s">
        <v>54</v>
      </c>
      <c r="B41" s="32" t="s">
        <v>55</v>
      </c>
      <c r="C41" s="32" t="s">
        <v>56</v>
      </c>
      <c r="D41" s="21" t="s">
        <v>109</v>
      </c>
      <c r="E41" s="32" t="s">
        <v>59</v>
      </c>
      <c r="F41" s="32" t="s">
        <v>57</v>
      </c>
      <c r="G41" s="32" t="s">
        <v>54</v>
      </c>
      <c r="H41" s="32" t="s">
        <v>69</v>
      </c>
      <c r="I41" s="32" t="s">
        <v>62</v>
      </c>
      <c r="J41" s="32" t="s">
        <v>106</v>
      </c>
      <c r="K41" s="20">
        <v>1.7368780630155085E-2</v>
      </c>
      <c r="L41" s="29">
        <f>K41*Inflation!$D$8</f>
        <v>2.1006973129379106E-2</v>
      </c>
    </row>
    <row r="42" spans="1:12" ht="52.2" x14ac:dyDescent="0.3">
      <c r="A42" s="32" t="s">
        <v>54</v>
      </c>
      <c r="B42" s="32" t="s">
        <v>55</v>
      </c>
      <c r="C42" s="32" t="s">
        <v>56</v>
      </c>
      <c r="D42" s="21" t="s">
        <v>110</v>
      </c>
      <c r="E42" s="32" t="s">
        <v>59</v>
      </c>
      <c r="F42" s="32" t="s">
        <v>57</v>
      </c>
      <c r="G42" s="32" t="s">
        <v>54</v>
      </c>
      <c r="H42" s="32" t="s">
        <v>69</v>
      </c>
      <c r="I42" s="32" t="s">
        <v>65</v>
      </c>
      <c r="J42" s="32" t="s">
        <v>106</v>
      </c>
      <c r="K42" s="20">
        <v>0.1721567766027671</v>
      </c>
      <c r="L42" s="29">
        <f>K42*Inflation!$D$8</f>
        <v>0.20821800085701</v>
      </c>
    </row>
    <row r="43" spans="1:12" ht="52.2" x14ac:dyDescent="0.3">
      <c r="A43" s="32" t="s">
        <v>54</v>
      </c>
      <c r="B43" s="32" t="s">
        <v>55</v>
      </c>
      <c r="C43" s="32" t="s">
        <v>56</v>
      </c>
      <c r="D43" s="21" t="s">
        <v>111</v>
      </c>
      <c r="E43" s="32" t="s">
        <v>59</v>
      </c>
      <c r="F43" s="32" t="s">
        <v>57</v>
      </c>
      <c r="G43" s="32" t="s">
        <v>54</v>
      </c>
      <c r="H43" s="32" t="s">
        <v>69</v>
      </c>
      <c r="I43" s="32" t="s">
        <v>67</v>
      </c>
      <c r="J43" s="32" t="s">
        <v>106</v>
      </c>
      <c r="K43" s="20">
        <v>0</v>
      </c>
      <c r="L43" s="29">
        <f>K43*Inflation!$D$8</f>
        <v>0</v>
      </c>
    </row>
    <row r="44" spans="1:12" ht="21.6" x14ac:dyDescent="0.3">
      <c r="A44" s="32" t="s">
        <v>54</v>
      </c>
      <c r="B44" s="32" t="s">
        <v>55</v>
      </c>
      <c r="C44" s="32" t="s">
        <v>56</v>
      </c>
      <c r="D44" s="21" t="s">
        <v>112</v>
      </c>
      <c r="E44" s="32" t="s">
        <v>59</v>
      </c>
      <c r="F44" s="32" t="s">
        <v>57</v>
      </c>
      <c r="G44" s="32" t="s">
        <v>54</v>
      </c>
      <c r="H44" s="32" t="s">
        <v>6</v>
      </c>
      <c r="I44" s="32" t="s">
        <v>62</v>
      </c>
      <c r="J44" s="32" t="s">
        <v>106</v>
      </c>
      <c r="K44" s="20">
        <v>0.56422423243255804</v>
      </c>
      <c r="L44" s="29">
        <f>K44*Inflation!$D$8</f>
        <v>0.68241078876182837</v>
      </c>
    </row>
    <row r="45" spans="1:12" ht="31.8" x14ac:dyDescent="0.3">
      <c r="A45" s="32" t="s">
        <v>54</v>
      </c>
      <c r="B45" s="32" t="s">
        <v>55</v>
      </c>
      <c r="C45" s="32" t="s">
        <v>56</v>
      </c>
      <c r="D45" s="21" t="s">
        <v>113</v>
      </c>
      <c r="E45" s="32" t="s">
        <v>59</v>
      </c>
      <c r="F45" s="32" t="s">
        <v>57</v>
      </c>
      <c r="G45" s="32" t="s">
        <v>54</v>
      </c>
      <c r="H45" s="32" t="s">
        <v>6</v>
      </c>
      <c r="I45" s="32" t="s">
        <v>65</v>
      </c>
      <c r="J45" s="32" t="s">
        <v>106</v>
      </c>
      <c r="K45" s="20">
        <v>0</v>
      </c>
      <c r="L45" s="29">
        <f>K45*Inflation!$D$8</f>
        <v>0</v>
      </c>
    </row>
    <row r="46" spans="1:12" ht="31.8" x14ac:dyDescent="0.3">
      <c r="A46" s="32" t="s">
        <v>54</v>
      </c>
      <c r="B46" s="32" t="s">
        <v>55</v>
      </c>
      <c r="C46" s="32" t="s">
        <v>56</v>
      </c>
      <c r="D46" s="21" t="s">
        <v>114</v>
      </c>
      <c r="E46" s="32" t="s">
        <v>59</v>
      </c>
      <c r="F46" s="32" t="s">
        <v>57</v>
      </c>
      <c r="G46" s="32" t="s">
        <v>54</v>
      </c>
      <c r="H46" s="32" t="s">
        <v>6</v>
      </c>
      <c r="I46" s="32" t="s">
        <v>67</v>
      </c>
      <c r="J46" s="32" t="s">
        <v>106</v>
      </c>
      <c r="K46" s="20">
        <v>0</v>
      </c>
      <c r="L46" s="29">
        <f>K46*Inflation!$D$8</f>
        <v>0</v>
      </c>
    </row>
    <row r="47" spans="1:12" ht="31.8" x14ac:dyDescent="0.3">
      <c r="A47" s="32" t="s">
        <v>54</v>
      </c>
      <c r="B47" s="32" t="s">
        <v>55</v>
      </c>
      <c r="C47" s="32" t="s">
        <v>56</v>
      </c>
      <c r="D47" s="21" t="s">
        <v>115</v>
      </c>
      <c r="E47" s="32" t="s">
        <v>59</v>
      </c>
      <c r="F47" s="32" t="s">
        <v>57</v>
      </c>
      <c r="G47" s="32" t="s">
        <v>54</v>
      </c>
      <c r="H47" s="32" t="s">
        <v>76</v>
      </c>
      <c r="I47" s="32" t="s">
        <v>62</v>
      </c>
      <c r="J47" s="32" t="s">
        <v>106</v>
      </c>
      <c r="K47" s="20">
        <v>2.0942456321478155E-2</v>
      </c>
      <c r="L47" s="29">
        <f>K47*Inflation!$D$8</f>
        <v>2.5329217207377387E-2</v>
      </c>
    </row>
    <row r="48" spans="1:12" ht="31.8" x14ac:dyDescent="0.3">
      <c r="A48" s="32" t="s">
        <v>54</v>
      </c>
      <c r="B48" s="32" t="s">
        <v>55</v>
      </c>
      <c r="C48" s="32" t="s">
        <v>56</v>
      </c>
      <c r="D48" s="21" t="s">
        <v>116</v>
      </c>
      <c r="E48" s="32" t="s">
        <v>59</v>
      </c>
      <c r="F48" s="32" t="s">
        <v>57</v>
      </c>
      <c r="G48" s="32" t="s">
        <v>54</v>
      </c>
      <c r="H48" s="32" t="s">
        <v>76</v>
      </c>
      <c r="I48" s="32" t="s">
        <v>65</v>
      </c>
      <c r="J48" s="32" t="s">
        <v>106</v>
      </c>
      <c r="K48" s="20">
        <v>0</v>
      </c>
      <c r="L48" s="29">
        <f>K48*Inflation!$D$8</f>
        <v>0</v>
      </c>
    </row>
    <row r="49" spans="1:12" ht="31.8" x14ac:dyDescent="0.3">
      <c r="A49" s="32" t="s">
        <v>54</v>
      </c>
      <c r="B49" s="32" t="s">
        <v>55</v>
      </c>
      <c r="C49" s="32" t="s">
        <v>56</v>
      </c>
      <c r="D49" s="21" t="s">
        <v>117</v>
      </c>
      <c r="E49" s="32" t="s">
        <v>59</v>
      </c>
      <c r="F49" s="32" t="s">
        <v>57</v>
      </c>
      <c r="G49" s="32" t="s">
        <v>54</v>
      </c>
      <c r="H49" s="32" t="s">
        <v>76</v>
      </c>
      <c r="I49" s="32" t="s">
        <v>67</v>
      </c>
      <c r="J49" s="32" t="s">
        <v>106</v>
      </c>
      <c r="K49" s="20">
        <v>0</v>
      </c>
      <c r="L49" s="29">
        <f>K49*Inflation!$D$8</f>
        <v>0</v>
      </c>
    </row>
    <row r="50" spans="1:12" ht="31.8" x14ac:dyDescent="0.3">
      <c r="A50" s="32" t="s">
        <v>54</v>
      </c>
      <c r="B50" s="32" t="s">
        <v>55</v>
      </c>
      <c r="C50" s="32" t="s">
        <v>56</v>
      </c>
      <c r="D50" s="21" t="s">
        <v>118</v>
      </c>
      <c r="E50" s="32" t="s">
        <v>59</v>
      </c>
      <c r="F50" s="32" t="s">
        <v>57</v>
      </c>
      <c r="G50" s="32" t="s">
        <v>119</v>
      </c>
      <c r="H50" s="32" t="s">
        <v>61</v>
      </c>
      <c r="I50" s="32" t="s">
        <v>62</v>
      </c>
      <c r="J50" s="32" t="s">
        <v>120</v>
      </c>
      <c r="K50" s="20">
        <v>3.4686332327965768</v>
      </c>
      <c r="L50" s="29">
        <f>K50*Inflation!$D$8</f>
        <v>4.195198653757104</v>
      </c>
    </row>
    <row r="51" spans="1:12" ht="42" x14ac:dyDescent="0.3">
      <c r="A51" s="32" t="s">
        <v>54</v>
      </c>
      <c r="B51" s="32" t="s">
        <v>55</v>
      </c>
      <c r="C51" s="32" t="s">
        <v>56</v>
      </c>
      <c r="D51" s="21" t="s">
        <v>121</v>
      </c>
      <c r="E51" s="32" t="s">
        <v>59</v>
      </c>
      <c r="F51" s="32" t="s">
        <v>57</v>
      </c>
      <c r="G51" s="32" t="s">
        <v>119</v>
      </c>
      <c r="H51" s="32" t="s">
        <v>61</v>
      </c>
      <c r="I51" s="32" t="s">
        <v>65</v>
      </c>
      <c r="J51" s="32" t="s">
        <v>120</v>
      </c>
      <c r="K51" s="20">
        <v>4.139746296363656</v>
      </c>
      <c r="L51" s="29">
        <f>K51*Inflation!$D$8</f>
        <v>5.0068879941505431</v>
      </c>
    </row>
    <row r="52" spans="1:12" ht="42" x14ac:dyDescent="0.3">
      <c r="A52" s="32" t="s">
        <v>54</v>
      </c>
      <c r="B52" s="32" t="s">
        <v>55</v>
      </c>
      <c r="C52" s="32" t="s">
        <v>56</v>
      </c>
      <c r="D52" s="21" t="s">
        <v>122</v>
      </c>
      <c r="E52" s="32" t="s">
        <v>59</v>
      </c>
      <c r="F52" s="32" t="s">
        <v>57</v>
      </c>
      <c r="G52" s="32" t="s">
        <v>119</v>
      </c>
      <c r="H52" s="32" t="s">
        <v>61</v>
      </c>
      <c r="I52" s="32" t="s">
        <v>67</v>
      </c>
      <c r="J52" s="32" t="s">
        <v>120</v>
      </c>
      <c r="K52" s="20">
        <v>4.2902403610210254</v>
      </c>
      <c r="L52" s="29">
        <f>K52*Inflation!$D$8</f>
        <v>5.1889056521374055</v>
      </c>
    </row>
    <row r="53" spans="1:12" ht="52.2" x14ac:dyDescent="0.3">
      <c r="A53" s="32" t="s">
        <v>54</v>
      </c>
      <c r="B53" s="32" t="s">
        <v>55</v>
      </c>
      <c r="C53" s="32" t="s">
        <v>56</v>
      </c>
      <c r="D53" s="21" t="s">
        <v>123</v>
      </c>
      <c r="E53" s="32" t="s">
        <v>59</v>
      </c>
      <c r="F53" s="32" t="s">
        <v>57</v>
      </c>
      <c r="G53" s="32" t="s">
        <v>119</v>
      </c>
      <c r="H53" s="32" t="s">
        <v>69</v>
      </c>
      <c r="I53" s="32" t="s">
        <v>62</v>
      </c>
      <c r="J53" s="32" t="s">
        <v>120</v>
      </c>
      <c r="K53" s="20">
        <v>3.5054800656318856</v>
      </c>
      <c r="L53" s="29">
        <f>K53*Inflation!$D$8</f>
        <v>4.2397636951239228</v>
      </c>
    </row>
    <row r="54" spans="1:12" ht="52.2" x14ac:dyDescent="0.3">
      <c r="A54" s="32" t="s">
        <v>54</v>
      </c>
      <c r="B54" s="32" t="s">
        <v>55</v>
      </c>
      <c r="C54" s="32" t="s">
        <v>56</v>
      </c>
      <c r="D54" s="21" t="s">
        <v>124</v>
      </c>
      <c r="E54" s="32" t="s">
        <v>59</v>
      </c>
      <c r="F54" s="32" t="s">
        <v>57</v>
      </c>
      <c r="G54" s="32" t="s">
        <v>119</v>
      </c>
      <c r="H54" s="32" t="s">
        <v>69</v>
      </c>
      <c r="I54" s="32" t="s">
        <v>65</v>
      </c>
      <c r="J54" s="32" t="s">
        <v>120</v>
      </c>
      <c r="K54" s="20">
        <v>3.7204586186159632</v>
      </c>
      <c r="L54" s="29">
        <f>K54*Inflation!$D$8</f>
        <v>4.4997732365012091</v>
      </c>
    </row>
    <row r="55" spans="1:12" ht="52.2" x14ac:dyDescent="0.3">
      <c r="A55" s="32" t="s">
        <v>54</v>
      </c>
      <c r="B55" s="32" t="s">
        <v>55</v>
      </c>
      <c r="C55" s="32" t="s">
        <v>56</v>
      </c>
      <c r="D55" s="21" t="s">
        <v>125</v>
      </c>
      <c r="E55" s="32" t="s">
        <v>59</v>
      </c>
      <c r="F55" s="32" t="s">
        <v>57</v>
      </c>
      <c r="G55" s="32" t="s">
        <v>119</v>
      </c>
      <c r="H55" s="32" t="s">
        <v>69</v>
      </c>
      <c r="I55" s="32" t="s">
        <v>67</v>
      </c>
      <c r="J55" s="32" t="s">
        <v>120</v>
      </c>
      <c r="K55" s="20">
        <v>4.036359745245413</v>
      </c>
      <c r="L55" s="29">
        <f>K55*Inflation!$D$8</f>
        <v>4.8818453358588361</v>
      </c>
    </row>
    <row r="56" spans="1:12" ht="31.8" x14ac:dyDescent="0.3">
      <c r="A56" s="32" t="s">
        <v>54</v>
      </c>
      <c r="B56" s="32" t="s">
        <v>55</v>
      </c>
      <c r="C56" s="32" t="s">
        <v>56</v>
      </c>
      <c r="D56" s="21" t="s">
        <v>126</v>
      </c>
      <c r="E56" s="32" t="s">
        <v>59</v>
      </c>
      <c r="F56" s="32" t="s">
        <v>57</v>
      </c>
      <c r="G56" s="32" t="s">
        <v>119</v>
      </c>
      <c r="H56" s="32" t="s">
        <v>6</v>
      </c>
      <c r="I56" s="32" t="s">
        <v>62</v>
      </c>
      <c r="J56" s="32" t="s">
        <v>120</v>
      </c>
      <c r="K56" s="20">
        <v>4.4395381959802771</v>
      </c>
      <c r="L56" s="29">
        <f>K56*Inflation!$D$8</f>
        <v>5.3694765093579946</v>
      </c>
    </row>
    <row r="57" spans="1:12" ht="31.8" x14ac:dyDescent="0.3">
      <c r="A57" s="32" t="s">
        <v>54</v>
      </c>
      <c r="B57" s="32" t="s">
        <v>55</v>
      </c>
      <c r="C57" s="32" t="s">
        <v>56</v>
      </c>
      <c r="D57" s="21" t="s">
        <v>127</v>
      </c>
      <c r="E57" s="32" t="s">
        <v>59</v>
      </c>
      <c r="F57" s="32" t="s">
        <v>57</v>
      </c>
      <c r="G57" s="32" t="s">
        <v>119</v>
      </c>
      <c r="H57" s="32" t="s">
        <v>6</v>
      </c>
      <c r="I57" s="32" t="s">
        <v>65</v>
      </c>
      <c r="J57" s="32" t="s">
        <v>120</v>
      </c>
      <c r="K57" s="20">
        <v>4.7780751100412235</v>
      </c>
      <c r="L57" s="29">
        <f>K57*Inflation!$D$8</f>
        <v>5.7789258546179747</v>
      </c>
    </row>
    <row r="58" spans="1:12" ht="31.8" x14ac:dyDescent="0.3">
      <c r="A58" s="32" t="s">
        <v>54</v>
      </c>
      <c r="B58" s="32" t="s">
        <v>55</v>
      </c>
      <c r="C58" s="32" t="s">
        <v>56</v>
      </c>
      <c r="D58" s="21" t="s">
        <v>128</v>
      </c>
      <c r="E58" s="32" t="s">
        <v>59</v>
      </c>
      <c r="F58" s="32" t="s">
        <v>57</v>
      </c>
      <c r="G58" s="32" t="s">
        <v>119</v>
      </c>
      <c r="H58" s="32" t="s">
        <v>6</v>
      </c>
      <c r="I58" s="32" t="s">
        <v>67</v>
      </c>
      <c r="J58" s="32" t="s">
        <v>120</v>
      </c>
      <c r="K58" s="20">
        <v>4.5002557902044806</v>
      </c>
      <c r="L58" s="29">
        <f>K58*Inflation!$D$8</f>
        <v>5.4429124573101451</v>
      </c>
    </row>
    <row r="59" spans="1:12" ht="31.8" x14ac:dyDescent="0.3">
      <c r="A59" s="32" t="s">
        <v>54</v>
      </c>
      <c r="B59" s="32" t="s">
        <v>55</v>
      </c>
      <c r="C59" s="32" t="s">
        <v>56</v>
      </c>
      <c r="D59" s="21" t="s">
        <v>129</v>
      </c>
      <c r="E59" s="32" t="s">
        <v>59</v>
      </c>
      <c r="F59" s="32" t="s">
        <v>57</v>
      </c>
      <c r="G59" s="32" t="s">
        <v>119</v>
      </c>
      <c r="H59" s="32" t="s">
        <v>76</v>
      </c>
      <c r="I59" s="32" t="s">
        <v>62</v>
      </c>
      <c r="J59" s="32" t="s">
        <v>120</v>
      </c>
      <c r="K59" s="20">
        <v>4.8785848967015815</v>
      </c>
      <c r="L59" s="29">
        <f>K59*Inflation!$D$8</f>
        <v>5.9004891602162974</v>
      </c>
    </row>
    <row r="60" spans="1:12" ht="31.8" x14ac:dyDescent="0.3">
      <c r="A60" s="32" t="s">
        <v>54</v>
      </c>
      <c r="B60" s="32" t="s">
        <v>55</v>
      </c>
      <c r="C60" s="32" t="s">
        <v>56</v>
      </c>
      <c r="D60" s="21" t="s">
        <v>130</v>
      </c>
      <c r="E60" s="32" t="s">
        <v>59</v>
      </c>
      <c r="F60" s="32" t="s">
        <v>57</v>
      </c>
      <c r="G60" s="32" t="s">
        <v>119</v>
      </c>
      <c r="H60" s="32" t="s">
        <v>76</v>
      </c>
      <c r="I60" s="32" t="s">
        <v>65</v>
      </c>
      <c r="J60" s="32" t="s">
        <v>120</v>
      </c>
      <c r="K60" s="20">
        <v>5.8678983963288465</v>
      </c>
      <c r="L60" s="29">
        <f>K60*Inflation!$D$8</f>
        <v>7.0970315396577259</v>
      </c>
    </row>
    <row r="61" spans="1:12" ht="31.8" x14ac:dyDescent="0.3">
      <c r="A61" s="32" t="s">
        <v>54</v>
      </c>
      <c r="B61" s="32" t="s">
        <v>55</v>
      </c>
      <c r="C61" s="32" t="s">
        <v>56</v>
      </c>
      <c r="D61" s="21" t="s">
        <v>131</v>
      </c>
      <c r="E61" s="32" t="s">
        <v>59</v>
      </c>
      <c r="F61" s="32" t="s">
        <v>57</v>
      </c>
      <c r="G61" s="32" t="s">
        <v>119</v>
      </c>
      <c r="H61" s="32" t="s">
        <v>76</v>
      </c>
      <c r="I61" s="32" t="s">
        <v>67</v>
      </c>
      <c r="J61" s="32" t="s">
        <v>120</v>
      </c>
      <c r="K61" s="20">
        <v>3.3529517846344143</v>
      </c>
      <c r="L61" s="29">
        <f>K61*Inflation!$D$8</f>
        <v>4.0552857188852611</v>
      </c>
    </row>
    <row r="62" spans="1:12" ht="52.2" x14ac:dyDescent="0.3">
      <c r="A62" s="32" t="s">
        <v>54</v>
      </c>
      <c r="B62" s="32" t="s">
        <v>55</v>
      </c>
      <c r="C62" s="32" t="s">
        <v>56</v>
      </c>
      <c r="D62" s="21" t="s">
        <v>132</v>
      </c>
      <c r="E62" s="32" t="s">
        <v>59</v>
      </c>
      <c r="F62" s="32" t="s">
        <v>57</v>
      </c>
      <c r="G62" s="32" t="s">
        <v>133</v>
      </c>
      <c r="H62" s="32" t="s">
        <v>61</v>
      </c>
      <c r="I62" s="32" t="s">
        <v>62</v>
      </c>
      <c r="J62" s="32" t="s">
        <v>120</v>
      </c>
      <c r="K62" s="20">
        <v>3.4686332327965768</v>
      </c>
      <c r="L62" s="29">
        <f>K62*Inflation!$D$8</f>
        <v>4.195198653757104</v>
      </c>
    </row>
    <row r="63" spans="1:12" ht="52.2" x14ac:dyDescent="0.3">
      <c r="A63" s="32" t="s">
        <v>54</v>
      </c>
      <c r="B63" s="32" t="s">
        <v>55</v>
      </c>
      <c r="C63" s="32" t="s">
        <v>56</v>
      </c>
      <c r="D63" s="21" t="s">
        <v>134</v>
      </c>
      <c r="E63" s="32" t="s">
        <v>59</v>
      </c>
      <c r="F63" s="32" t="s">
        <v>57</v>
      </c>
      <c r="G63" s="32" t="s">
        <v>133</v>
      </c>
      <c r="H63" s="32" t="s">
        <v>61</v>
      </c>
      <c r="I63" s="32" t="s">
        <v>65</v>
      </c>
      <c r="J63" s="32" t="s">
        <v>120</v>
      </c>
      <c r="K63" s="20">
        <v>4.139746296363656</v>
      </c>
      <c r="L63" s="29">
        <f>K63*Inflation!$D$8</f>
        <v>5.0068879941505431</v>
      </c>
    </row>
    <row r="64" spans="1:12" ht="52.2" x14ac:dyDescent="0.3">
      <c r="A64" s="32" t="s">
        <v>54</v>
      </c>
      <c r="B64" s="32" t="s">
        <v>55</v>
      </c>
      <c r="C64" s="32" t="s">
        <v>56</v>
      </c>
      <c r="D64" s="21" t="s">
        <v>135</v>
      </c>
      <c r="E64" s="32" t="s">
        <v>59</v>
      </c>
      <c r="F64" s="32" t="s">
        <v>57</v>
      </c>
      <c r="G64" s="32" t="s">
        <v>133</v>
      </c>
      <c r="H64" s="32" t="s">
        <v>61</v>
      </c>
      <c r="I64" s="32" t="s">
        <v>67</v>
      </c>
      <c r="J64" s="32" t="s">
        <v>120</v>
      </c>
      <c r="K64" s="20">
        <v>4.2902403610210254</v>
      </c>
      <c r="L64" s="29">
        <f>K64*Inflation!$D$8</f>
        <v>5.1889056521374055</v>
      </c>
    </row>
    <row r="65" spans="1:12" ht="52.2" x14ac:dyDescent="0.3">
      <c r="A65" s="32" t="s">
        <v>54</v>
      </c>
      <c r="B65" s="32" t="s">
        <v>55</v>
      </c>
      <c r="C65" s="32" t="s">
        <v>56</v>
      </c>
      <c r="D65" s="21" t="s">
        <v>136</v>
      </c>
      <c r="E65" s="32" t="s">
        <v>59</v>
      </c>
      <c r="F65" s="32" t="s">
        <v>57</v>
      </c>
      <c r="G65" s="32" t="s">
        <v>133</v>
      </c>
      <c r="H65" s="32" t="s">
        <v>69</v>
      </c>
      <c r="I65" s="32" t="s">
        <v>62</v>
      </c>
      <c r="J65" s="32" t="s">
        <v>120</v>
      </c>
      <c r="K65" s="20">
        <v>3.5054800656318856</v>
      </c>
      <c r="L65" s="29">
        <f>K65*Inflation!$D$8</f>
        <v>4.2397636951239228</v>
      </c>
    </row>
    <row r="66" spans="1:12" ht="52.2" x14ac:dyDescent="0.3">
      <c r="A66" s="32" t="s">
        <v>54</v>
      </c>
      <c r="B66" s="32" t="s">
        <v>55</v>
      </c>
      <c r="C66" s="32" t="s">
        <v>56</v>
      </c>
      <c r="D66" s="21" t="s">
        <v>137</v>
      </c>
      <c r="E66" s="32" t="s">
        <v>59</v>
      </c>
      <c r="F66" s="32" t="s">
        <v>57</v>
      </c>
      <c r="G66" s="32" t="s">
        <v>133</v>
      </c>
      <c r="H66" s="32" t="s">
        <v>69</v>
      </c>
      <c r="I66" s="32" t="s">
        <v>65</v>
      </c>
      <c r="J66" s="32" t="s">
        <v>120</v>
      </c>
      <c r="K66" s="20">
        <v>3.7204586186159632</v>
      </c>
      <c r="L66" s="29">
        <f>K66*Inflation!$D$8</f>
        <v>4.4997732365012091</v>
      </c>
    </row>
    <row r="67" spans="1:12" ht="52.2" x14ac:dyDescent="0.3">
      <c r="A67" s="32" t="s">
        <v>54</v>
      </c>
      <c r="B67" s="32" t="s">
        <v>55</v>
      </c>
      <c r="C67" s="32" t="s">
        <v>56</v>
      </c>
      <c r="D67" s="21" t="s">
        <v>138</v>
      </c>
      <c r="E67" s="32" t="s">
        <v>59</v>
      </c>
      <c r="F67" s="32" t="s">
        <v>57</v>
      </c>
      <c r="G67" s="32" t="s">
        <v>133</v>
      </c>
      <c r="H67" s="32" t="s">
        <v>69</v>
      </c>
      <c r="I67" s="32" t="s">
        <v>67</v>
      </c>
      <c r="J67" s="32" t="s">
        <v>120</v>
      </c>
      <c r="K67" s="20">
        <v>4.036359745245413</v>
      </c>
      <c r="L67" s="29">
        <f>K67*Inflation!$D$8</f>
        <v>4.8818453358588361</v>
      </c>
    </row>
    <row r="68" spans="1:12" ht="52.2" x14ac:dyDescent="0.3">
      <c r="A68" s="32" t="s">
        <v>54</v>
      </c>
      <c r="B68" s="32" t="s">
        <v>55</v>
      </c>
      <c r="C68" s="32" t="s">
        <v>56</v>
      </c>
      <c r="D68" s="21" t="s">
        <v>139</v>
      </c>
      <c r="E68" s="32" t="s">
        <v>59</v>
      </c>
      <c r="F68" s="32" t="s">
        <v>57</v>
      </c>
      <c r="G68" s="32" t="s">
        <v>133</v>
      </c>
      <c r="H68" s="32" t="s">
        <v>6</v>
      </c>
      <c r="I68" s="32" t="s">
        <v>62</v>
      </c>
      <c r="J68" s="32" t="s">
        <v>120</v>
      </c>
      <c r="K68" s="20">
        <v>4.4395381959802771</v>
      </c>
      <c r="L68" s="29">
        <f>K68*Inflation!$D$8</f>
        <v>5.3694765093579946</v>
      </c>
    </row>
    <row r="69" spans="1:12" ht="52.2" x14ac:dyDescent="0.3">
      <c r="A69" s="32" t="s">
        <v>54</v>
      </c>
      <c r="B69" s="32" t="s">
        <v>55</v>
      </c>
      <c r="C69" s="32" t="s">
        <v>56</v>
      </c>
      <c r="D69" s="21" t="s">
        <v>140</v>
      </c>
      <c r="E69" s="32" t="s">
        <v>59</v>
      </c>
      <c r="F69" s="32" t="s">
        <v>57</v>
      </c>
      <c r="G69" s="32" t="s">
        <v>133</v>
      </c>
      <c r="H69" s="32" t="s">
        <v>6</v>
      </c>
      <c r="I69" s="32" t="s">
        <v>65</v>
      </c>
      <c r="J69" s="32" t="s">
        <v>120</v>
      </c>
      <c r="K69" s="20">
        <v>4.7780751100412235</v>
      </c>
      <c r="L69" s="29">
        <f>K69*Inflation!$D$8</f>
        <v>5.7789258546179747</v>
      </c>
    </row>
    <row r="70" spans="1:12" ht="52.2" x14ac:dyDescent="0.3">
      <c r="A70" s="32" t="s">
        <v>54</v>
      </c>
      <c r="B70" s="32" t="s">
        <v>55</v>
      </c>
      <c r="C70" s="32" t="s">
        <v>56</v>
      </c>
      <c r="D70" s="21" t="s">
        <v>141</v>
      </c>
      <c r="E70" s="32" t="s">
        <v>59</v>
      </c>
      <c r="F70" s="32" t="s">
        <v>57</v>
      </c>
      <c r="G70" s="32" t="s">
        <v>133</v>
      </c>
      <c r="H70" s="32" t="s">
        <v>6</v>
      </c>
      <c r="I70" s="32" t="s">
        <v>67</v>
      </c>
      <c r="J70" s="32" t="s">
        <v>120</v>
      </c>
      <c r="K70" s="20">
        <v>4.5002557902044806</v>
      </c>
      <c r="L70" s="29">
        <f>K70*Inflation!$D$8</f>
        <v>5.4429124573101451</v>
      </c>
    </row>
    <row r="71" spans="1:12" ht="52.2" x14ac:dyDescent="0.3">
      <c r="A71" s="32" t="s">
        <v>54</v>
      </c>
      <c r="B71" s="32" t="s">
        <v>55</v>
      </c>
      <c r="C71" s="32" t="s">
        <v>56</v>
      </c>
      <c r="D71" s="21" t="s">
        <v>142</v>
      </c>
      <c r="E71" s="32" t="s">
        <v>59</v>
      </c>
      <c r="F71" s="32" t="s">
        <v>57</v>
      </c>
      <c r="G71" s="32" t="s">
        <v>133</v>
      </c>
      <c r="H71" s="32" t="s">
        <v>76</v>
      </c>
      <c r="I71" s="32" t="s">
        <v>62</v>
      </c>
      <c r="J71" s="32" t="s">
        <v>120</v>
      </c>
      <c r="K71" s="20">
        <v>4.8785848967015815</v>
      </c>
      <c r="L71" s="29">
        <f>K71*Inflation!$D$8</f>
        <v>5.9004891602162974</v>
      </c>
    </row>
    <row r="72" spans="1:12" ht="52.2" x14ac:dyDescent="0.3">
      <c r="A72" s="32" t="s">
        <v>54</v>
      </c>
      <c r="B72" s="32" t="s">
        <v>55</v>
      </c>
      <c r="C72" s="32" t="s">
        <v>56</v>
      </c>
      <c r="D72" s="21" t="s">
        <v>143</v>
      </c>
      <c r="E72" s="32" t="s">
        <v>59</v>
      </c>
      <c r="F72" s="32" t="s">
        <v>57</v>
      </c>
      <c r="G72" s="32" t="s">
        <v>133</v>
      </c>
      <c r="H72" s="32" t="s">
        <v>76</v>
      </c>
      <c r="I72" s="32" t="s">
        <v>65</v>
      </c>
      <c r="J72" s="32" t="s">
        <v>120</v>
      </c>
      <c r="K72" s="20">
        <v>5.8678983963288465</v>
      </c>
      <c r="L72" s="29">
        <f>K72*Inflation!$D$8</f>
        <v>7.0970315396577259</v>
      </c>
    </row>
    <row r="73" spans="1:12" ht="52.2" x14ac:dyDescent="0.3">
      <c r="A73" s="32" t="s">
        <v>54</v>
      </c>
      <c r="B73" s="32" t="s">
        <v>55</v>
      </c>
      <c r="C73" s="32" t="s">
        <v>56</v>
      </c>
      <c r="D73" s="21" t="s">
        <v>144</v>
      </c>
      <c r="E73" s="32" t="s">
        <v>59</v>
      </c>
      <c r="F73" s="32" t="s">
        <v>57</v>
      </c>
      <c r="G73" s="32" t="s">
        <v>133</v>
      </c>
      <c r="H73" s="32" t="s">
        <v>76</v>
      </c>
      <c r="I73" s="32" t="s">
        <v>67</v>
      </c>
      <c r="J73" s="32" t="s">
        <v>120</v>
      </c>
      <c r="K73" s="20">
        <v>3.3529517846344143</v>
      </c>
      <c r="L73" s="29">
        <f>K73*Inflation!$D$8</f>
        <v>4.0552857188852611</v>
      </c>
    </row>
    <row r="74" spans="1:12" ht="72.599999999999994" x14ac:dyDescent="0.3">
      <c r="A74" s="32" t="s">
        <v>54</v>
      </c>
      <c r="B74" s="32" t="s">
        <v>55</v>
      </c>
      <c r="C74" s="32" t="s">
        <v>56</v>
      </c>
      <c r="D74" s="21" t="s">
        <v>145</v>
      </c>
      <c r="E74" s="32" t="s">
        <v>59</v>
      </c>
      <c r="F74" s="32" t="s">
        <v>57</v>
      </c>
      <c r="G74" s="32" t="s">
        <v>146</v>
      </c>
      <c r="H74" s="32" t="s">
        <v>61</v>
      </c>
      <c r="I74" s="32" t="s">
        <v>62</v>
      </c>
      <c r="J74" s="32" t="s">
        <v>120</v>
      </c>
      <c r="K74" s="20">
        <v>3.4686332327965768</v>
      </c>
      <c r="L74" s="29">
        <f>K74*Inflation!$D$8</f>
        <v>4.195198653757104</v>
      </c>
    </row>
    <row r="75" spans="1:12" ht="72.599999999999994" x14ac:dyDescent="0.3">
      <c r="A75" s="32" t="s">
        <v>54</v>
      </c>
      <c r="B75" s="32" t="s">
        <v>55</v>
      </c>
      <c r="C75" s="32" t="s">
        <v>56</v>
      </c>
      <c r="D75" s="21" t="s">
        <v>147</v>
      </c>
      <c r="E75" s="32" t="s">
        <v>59</v>
      </c>
      <c r="F75" s="32" t="s">
        <v>57</v>
      </c>
      <c r="G75" s="32" t="s">
        <v>146</v>
      </c>
      <c r="H75" s="32" t="s">
        <v>61</v>
      </c>
      <c r="I75" s="32" t="s">
        <v>65</v>
      </c>
      <c r="J75" s="32" t="s">
        <v>120</v>
      </c>
      <c r="K75" s="20">
        <v>4.139746296363656</v>
      </c>
      <c r="L75" s="29">
        <f>K75*Inflation!$D$8</f>
        <v>5.0068879941505431</v>
      </c>
    </row>
    <row r="76" spans="1:12" ht="72.599999999999994" x14ac:dyDescent="0.3">
      <c r="A76" s="32" t="s">
        <v>54</v>
      </c>
      <c r="B76" s="32" t="s">
        <v>55</v>
      </c>
      <c r="C76" s="32" t="s">
        <v>56</v>
      </c>
      <c r="D76" s="21" t="s">
        <v>148</v>
      </c>
      <c r="E76" s="32" t="s">
        <v>59</v>
      </c>
      <c r="F76" s="32" t="s">
        <v>57</v>
      </c>
      <c r="G76" s="32" t="s">
        <v>146</v>
      </c>
      <c r="H76" s="32" t="s">
        <v>61</v>
      </c>
      <c r="I76" s="32" t="s">
        <v>67</v>
      </c>
      <c r="J76" s="32" t="s">
        <v>120</v>
      </c>
      <c r="K76" s="20">
        <v>4.2902403610210254</v>
      </c>
      <c r="L76" s="29">
        <f>K76*Inflation!$D$8</f>
        <v>5.1889056521374055</v>
      </c>
    </row>
    <row r="77" spans="1:12" ht="72.599999999999994" x14ac:dyDescent="0.3">
      <c r="A77" s="32" t="s">
        <v>54</v>
      </c>
      <c r="B77" s="32" t="s">
        <v>55</v>
      </c>
      <c r="C77" s="32" t="s">
        <v>56</v>
      </c>
      <c r="D77" s="21" t="s">
        <v>149</v>
      </c>
      <c r="E77" s="32" t="s">
        <v>59</v>
      </c>
      <c r="F77" s="32" t="s">
        <v>57</v>
      </c>
      <c r="G77" s="32" t="s">
        <v>146</v>
      </c>
      <c r="H77" s="32" t="s">
        <v>69</v>
      </c>
      <c r="I77" s="32" t="s">
        <v>62</v>
      </c>
      <c r="J77" s="32" t="s">
        <v>120</v>
      </c>
      <c r="K77" s="20">
        <v>3.5054800656318856</v>
      </c>
      <c r="L77" s="29">
        <f>K77*Inflation!$D$8</f>
        <v>4.2397636951239228</v>
      </c>
    </row>
    <row r="78" spans="1:12" ht="72.599999999999994" x14ac:dyDescent="0.3">
      <c r="A78" s="32" t="s">
        <v>54</v>
      </c>
      <c r="B78" s="32" t="s">
        <v>55</v>
      </c>
      <c r="C78" s="32" t="s">
        <v>56</v>
      </c>
      <c r="D78" s="21" t="s">
        <v>150</v>
      </c>
      <c r="E78" s="32" t="s">
        <v>59</v>
      </c>
      <c r="F78" s="32" t="s">
        <v>57</v>
      </c>
      <c r="G78" s="32" t="s">
        <v>146</v>
      </c>
      <c r="H78" s="32" t="s">
        <v>69</v>
      </c>
      <c r="I78" s="32" t="s">
        <v>65</v>
      </c>
      <c r="J78" s="32" t="s">
        <v>120</v>
      </c>
      <c r="K78" s="20">
        <v>3.7204586186159632</v>
      </c>
      <c r="L78" s="29">
        <f>K78*Inflation!$D$8</f>
        <v>4.4997732365012091</v>
      </c>
    </row>
    <row r="79" spans="1:12" ht="72.599999999999994" x14ac:dyDescent="0.3">
      <c r="A79" s="32" t="s">
        <v>54</v>
      </c>
      <c r="B79" s="32" t="s">
        <v>55</v>
      </c>
      <c r="C79" s="32" t="s">
        <v>56</v>
      </c>
      <c r="D79" s="21" t="s">
        <v>151</v>
      </c>
      <c r="E79" s="32" t="s">
        <v>59</v>
      </c>
      <c r="F79" s="32" t="s">
        <v>57</v>
      </c>
      <c r="G79" s="32" t="s">
        <v>146</v>
      </c>
      <c r="H79" s="32" t="s">
        <v>69</v>
      </c>
      <c r="I79" s="32" t="s">
        <v>67</v>
      </c>
      <c r="J79" s="32" t="s">
        <v>120</v>
      </c>
      <c r="K79" s="20">
        <v>4.036359745245413</v>
      </c>
      <c r="L79" s="29">
        <f>K79*Inflation!$D$8</f>
        <v>4.8818453358588361</v>
      </c>
    </row>
    <row r="80" spans="1:12" ht="72.599999999999994" x14ac:dyDescent="0.3">
      <c r="A80" s="32" t="s">
        <v>54</v>
      </c>
      <c r="B80" s="32" t="s">
        <v>55</v>
      </c>
      <c r="C80" s="32" t="s">
        <v>56</v>
      </c>
      <c r="D80" s="21" t="s">
        <v>152</v>
      </c>
      <c r="E80" s="32" t="s">
        <v>59</v>
      </c>
      <c r="F80" s="32" t="s">
        <v>57</v>
      </c>
      <c r="G80" s="32" t="s">
        <v>146</v>
      </c>
      <c r="H80" s="32" t="s">
        <v>6</v>
      </c>
      <c r="I80" s="32" t="s">
        <v>62</v>
      </c>
      <c r="J80" s="32" t="s">
        <v>120</v>
      </c>
      <c r="K80" s="20">
        <v>4.4395381959802771</v>
      </c>
      <c r="L80" s="29">
        <f>K80*Inflation!$D$8</f>
        <v>5.3694765093579946</v>
      </c>
    </row>
    <row r="81" spans="1:12" ht="72.599999999999994" x14ac:dyDescent="0.3">
      <c r="A81" s="32" t="s">
        <v>54</v>
      </c>
      <c r="B81" s="32" t="s">
        <v>55</v>
      </c>
      <c r="C81" s="32" t="s">
        <v>56</v>
      </c>
      <c r="D81" s="21" t="s">
        <v>153</v>
      </c>
      <c r="E81" s="32" t="s">
        <v>59</v>
      </c>
      <c r="F81" s="32" t="s">
        <v>57</v>
      </c>
      <c r="G81" s="32" t="s">
        <v>146</v>
      </c>
      <c r="H81" s="32" t="s">
        <v>6</v>
      </c>
      <c r="I81" s="32" t="s">
        <v>65</v>
      </c>
      <c r="J81" s="32" t="s">
        <v>120</v>
      </c>
      <c r="K81" s="20">
        <v>4.7780751100412235</v>
      </c>
      <c r="L81" s="29">
        <f>K81*Inflation!$D$8</f>
        <v>5.7789258546179747</v>
      </c>
    </row>
    <row r="82" spans="1:12" ht="72.599999999999994" x14ac:dyDescent="0.3">
      <c r="A82" s="32" t="s">
        <v>54</v>
      </c>
      <c r="B82" s="32" t="s">
        <v>55</v>
      </c>
      <c r="C82" s="32" t="s">
        <v>56</v>
      </c>
      <c r="D82" s="21" t="s">
        <v>154</v>
      </c>
      <c r="E82" s="32" t="s">
        <v>59</v>
      </c>
      <c r="F82" s="32" t="s">
        <v>57</v>
      </c>
      <c r="G82" s="32" t="s">
        <v>146</v>
      </c>
      <c r="H82" s="32" t="s">
        <v>6</v>
      </c>
      <c r="I82" s="32" t="s">
        <v>67</v>
      </c>
      <c r="J82" s="32" t="s">
        <v>120</v>
      </c>
      <c r="K82" s="20">
        <v>4.5002557902044806</v>
      </c>
      <c r="L82" s="29">
        <f>K82*Inflation!$D$8</f>
        <v>5.4429124573101451</v>
      </c>
    </row>
    <row r="83" spans="1:12" ht="72.599999999999994" x14ac:dyDescent="0.3">
      <c r="A83" s="32" t="s">
        <v>54</v>
      </c>
      <c r="B83" s="32" t="s">
        <v>55</v>
      </c>
      <c r="C83" s="32" t="s">
        <v>56</v>
      </c>
      <c r="D83" s="21" t="s">
        <v>155</v>
      </c>
      <c r="E83" s="32" t="s">
        <v>59</v>
      </c>
      <c r="F83" s="32" t="s">
        <v>57</v>
      </c>
      <c r="G83" s="32" t="s">
        <v>146</v>
      </c>
      <c r="H83" s="32" t="s">
        <v>76</v>
      </c>
      <c r="I83" s="32" t="s">
        <v>62</v>
      </c>
      <c r="J83" s="32" t="s">
        <v>120</v>
      </c>
      <c r="K83" s="20">
        <v>4.8785848967015815</v>
      </c>
      <c r="L83" s="29">
        <f>K83*Inflation!$D$8</f>
        <v>5.9004891602162974</v>
      </c>
    </row>
    <row r="84" spans="1:12" ht="72.599999999999994" x14ac:dyDescent="0.3">
      <c r="A84" s="32" t="s">
        <v>54</v>
      </c>
      <c r="B84" s="32" t="s">
        <v>55</v>
      </c>
      <c r="C84" s="32" t="s">
        <v>56</v>
      </c>
      <c r="D84" s="21" t="s">
        <v>156</v>
      </c>
      <c r="E84" s="32" t="s">
        <v>59</v>
      </c>
      <c r="F84" s="32" t="s">
        <v>57</v>
      </c>
      <c r="G84" s="32" t="s">
        <v>146</v>
      </c>
      <c r="H84" s="32" t="s">
        <v>76</v>
      </c>
      <c r="I84" s="32" t="s">
        <v>65</v>
      </c>
      <c r="J84" s="32" t="s">
        <v>120</v>
      </c>
      <c r="K84" s="20">
        <v>5.8678983963288465</v>
      </c>
      <c r="L84" s="29">
        <f>K84*Inflation!$D$8</f>
        <v>7.0970315396577259</v>
      </c>
    </row>
    <row r="85" spans="1:12" ht="72.599999999999994" x14ac:dyDescent="0.3">
      <c r="A85" s="32" t="s">
        <v>54</v>
      </c>
      <c r="B85" s="32" t="s">
        <v>55</v>
      </c>
      <c r="C85" s="32" t="s">
        <v>56</v>
      </c>
      <c r="D85" s="21" t="s">
        <v>157</v>
      </c>
      <c r="E85" s="32" t="s">
        <v>59</v>
      </c>
      <c r="F85" s="32" t="s">
        <v>57</v>
      </c>
      <c r="G85" s="32" t="s">
        <v>146</v>
      </c>
      <c r="H85" s="32" t="s">
        <v>76</v>
      </c>
      <c r="I85" s="32" t="s">
        <v>67</v>
      </c>
      <c r="J85" s="32" t="s">
        <v>120</v>
      </c>
      <c r="K85" s="20">
        <v>3.3529517846344143</v>
      </c>
      <c r="L85" s="29">
        <f>K85*Inflation!$D$8</f>
        <v>4.0552857188852611</v>
      </c>
    </row>
    <row r="86" spans="1:12" x14ac:dyDescent="0.3">
      <c r="L86" s="34"/>
    </row>
    <row r="88" spans="1:12" x14ac:dyDescent="0.3">
      <c r="A88" s="3" t="s">
        <v>2</v>
      </c>
    </row>
  </sheetData>
  <dataValidations count="1">
    <dataValidation type="list" allowBlank="1" showInputMessage="1" showErrorMessage="1" sqref="T3">
      <formula1>CostDataSourceTypes</formula1>
    </dataValidation>
  </dataValidations>
  <hyperlinks>
    <hyperlink ref="A88" location="TRM_MCS_measures!A1" display="Return To TRM_MCS_Measures"/>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C000"/>
  </sheetPr>
  <dimension ref="A1:I26"/>
  <sheetViews>
    <sheetView workbookViewId="0"/>
  </sheetViews>
  <sheetFormatPr defaultRowHeight="14.4" x14ac:dyDescent="0.3"/>
  <cols>
    <col min="1" max="1" width="24.88671875" customWidth="1"/>
    <col min="2" max="2" width="18.5546875" customWidth="1"/>
    <col min="3" max="3" width="19.33203125" customWidth="1"/>
    <col min="4" max="4" width="26.33203125" customWidth="1"/>
    <col min="7" max="7" width="26.6640625" customWidth="1"/>
    <col min="8" max="8" width="27.33203125" customWidth="1"/>
    <col min="9" max="9" width="29.88671875" customWidth="1"/>
  </cols>
  <sheetData>
    <row r="1" spans="1:9" s="69" customFormat="1" x14ac:dyDescent="0.3"/>
    <row r="2" spans="1:9" x14ac:dyDescent="0.3">
      <c r="A2" s="2" t="s">
        <v>188</v>
      </c>
      <c r="B2" s="2"/>
      <c r="C2" s="2"/>
      <c r="D2" s="2"/>
      <c r="F2" s="812" t="s">
        <v>25</v>
      </c>
      <c r="G2" s="812"/>
      <c r="H2" s="812"/>
      <c r="I2" s="812"/>
    </row>
    <row r="3" spans="1:9" x14ac:dyDescent="0.3">
      <c r="A3" s="2" t="s">
        <v>177</v>
      </c>
      <c r="B3" s="2" t="s">
        <v>189</v>
      </c>
      <c r="C3" s="2"/>
      <c r="D3" s="2"/>
      <c r="F3" s="813" t="s">
        <v>190</v>
      </c>
      <c r="G3" s="813"/>
      <c r="H3" s="813"/>
      <c r="I3" s="813"/>
    </row>
    <row r="4" spans="1:9" x14ac:dyDescent="0.3">
      <c r="A4" s="2"/>
      <c r="B4" s="2" t="s">
        <v>179</v>
      </c>
      <c r="C4" s="2" t="s">
        <v>180</v>
      </c>
      <c r="D4" s="2" t="s">
        <v>181</v>
      </c>
      <c r="F4" s="813"/>
      <c r="G4" s="813"/>
      <c r="H4" s="813"/>
      <c r="I4" s="813"/>
    </row>
    <row r="5" spans="1:9" x14ac:dyDescent="0.3">
      <c r="A5" s="70" t="s">
        <v>182</v>
      </c>
      <c r="B5" s="16">
        <v>150</v>
      </c>
      <c r="C5" s="16">
        <v>30</v>
      </c>
      <c r="D5" s="16">
        <v>200</v>
      </c>
    </row>
    <row r="6" spans="1:9" x14ac:dyDescent="0.3">
      <c r="A6" s="70" t="s">
        <v>183</v>
      </c>
      <c r="B6" s="16">
        <v>113</v>
      </c>
      <c r="C6" s="16">
        <v>22</v>
      </c>
      <c r="D6" s="16">
        <v>150</v>
      </c>
      <c r="F6" t="s">
        <v>24</v>
      </c>
      <c r="G6" s="69" t="s">
        <v>191</v>
      </c>
    </row>
    <row r="7" spans="1:9" x14ac:dyDescent="0.3">
      <c r="A7" s="70" t="s">
        <v>184</v>
      </c>
      <c r="B7" s="16">
        <v>111</v>
      </c>
      <c r="C7" s="16">
        <v>23</v>
      </c>
      <c r="D7" s="70" t="s">
        <v>3</v>
      </c>
    </row>
    <row r="8" spans="1:9" x14ac:dyDescent="0.3">
      <c r="A8" s="70" t="s">
        <v>185</v>
      </c>
      <c r="B8" s="16">
        <v>128</v>
      </c>
      <c r="C8" s="16">
        <v>26</v>
      </c>
      <c r="D8" s="16">
        <v>177</v>
      </c>
    </row>
    <row r="10" spans="1:9" x14ac:dyDescent="0.3">
      <c r="A10" s="2" t="s">
        <v>176</v>
      </c>
      <c r="B10" s="2"/>
      <c r="C10" s="2"/>
      <c r="D10" s="2"/>
    </row>
    <row r="11" spans="1:9" x14ac:dyDescent="0.3">
      <c r="A11" s="2" t="s">
        <v>177</v>
      </c>
      <c r="B11" s="2" t="s">
        <v>178</v>
      </c>
      <c r="C11" s="2"/>
      <c r="D11" s="2"/>
    </row>
    <row r="12" spans="1:9" x14ac:dyDescent="0.3">
      <c r="A12" s="2"/>
      <c r="B12" s="2" t="s">
        <v>179</v>
      </c>
      <c r="C12" s="2" t="s">
        <v>180</v>
      </c>
      <c r="D12" s="2" t="s">
        <v>181</v>
      </c>
    </row>
    <row r="13" spans="1:9" x14ac:dyDescent="0.3">
      <c r="A13" s="70" t="s">
        <v>182</v>
      </c>
      <c r="B13" s="16">
        <v>158</v>
      </c>
      <c r="C13" s="16">
        <v>31</v>
      </c>
      <c r="D13" s="16">
        <v>210</v>
      </c>
    </row>
    <row r="14" spans="1:9" x14ac:dyDescent="0.3">
      <c r="A14" s="70" t="s">
        <v>183</v>
      </c>
      <c r="B14" s="16">
        <v>121</v>
      </c>
      <c r="C14" s="16">
        <v>24</v>
      </c>
      <c r="D14" s="16">
        <v>161</v>
      </c>
    </row>
    <row r="15" spans="1:9" x14ac:dyDescent="0.3">
      <c r="A15" s="70" t="s">
        <v>184</v>
      </c>
      <c r="B15" s="16">
        <v>118</v>
      </c>
      <c r="C15" s="16">
        <v>24</v>
      </c>
      <c r="D15" s="70" t="s">
        <v>3</v>
      </c>
    </row>
    <row r="16" spans="1:9" x14ac:dyDescent="0.3">
      <c r="A16" s="70" t="s">
        <v>185</v>
      </c>
      <c r="B16" s="16">
        <v>136</v>
      </c>
      <c r="C16" s="16">
        <v>27</v>
      </c>
      <c r="D16" s="16">
        <v>187</v>
      </c>
    </row>
    <row r="17" spans="1:4" x14ac:dyDescent="0.3">
      <c r="A17" s="69"/>
      <c r="B17" s="69"/>
      <c r="C17" s="69"/>
      <c r="D17" s="69"/>
    </row>
    <row r="18" spans="1:4" x14ac:dyDescent="0.3">
      <c r="A18" s="69"/>
      <c r="B18" s="69"/>
      <c r="C18" s="69"/>
      <c r="D18" s="69"/>
    </row>
    <row r="19" spans="1:4" x14ac:dyDescent="0.3">
      <c r="A19" s="2" t="s">
        <v>186</v>
      </c>
      <c r="B19" s="2"/>
      <c r="C19" s="2"/>
      <c r="D19" s="2"/>
    </row>
    <row r="20" spans="1:4" x14ac:dyDescent="0.3">
      <c r="A20" s="2" t="s">
        <v>177</v>
      </c>
      <c r="B20" s="2" t="s">
        <v>187</v>
      </c>
      <c r="C20" s="2"/>
      <c r="D20" s="2"/>
    </row>
    <row r="21" spans="1:4" x14ac:dyDescent="0.3">
      <c r="A21" s="2"/>
      <c r="B21" s="2" t="s">
        <v>179</v>
      </c>
      <c r="C21" s="2" t="s">
        <v>180</v>
      </c>
      <c r="D21" s="2" t="s">
        <v>181</v>
      </c>
    </row>
    <row r="22" spans="1:4" x14ac:dyDescent="0.3">
      <c r="A22" s="70" t="s">
        <v>182</v>
      </c>
      <c r="B22" s="16">
        <v>22</v>
      </c>
      <c r="C22" s="16">
        <v>5</v>
      </c>
      <c r="D22" s="16">
        <v>30</v>
      </c>
    </row>
    <row r="23" spans="1:4" x14ac:dyDescent="0.3">
      <c r="A23" s="70" t="s">
        <v>183</v>
      </c>
      <c r="B23" s="16">
        <v>22</v>
      </c>
      <c r="C23" s="16">
        <v>5</v>
      </c>
      <c r="D23" s="16">
        <v>30</v>
      </c>
    </row>
    <row r="24" spans="1:4" x14ac:dyDescent="0.3">
      <c r="A24" s="70" t="s">
        <v>184</v>
      </c>
      <c r="B24" s="16">
        <v>22</v>
      </c>
      <c r="C24" s="16">
        <v>5</v>
      </c>
      <c r="D24" s="70" t="s">
        <v>3</v>
      </c>
    </row>
    <row r="25" spans="1:4" x14ac:dyDescent="0.3">
      <c r="A25" s="70" t="s">
        <v>185</v>
      </c>
      <c r="B25" s="16">
        <v>22</v>
      </c>
      <c r="C25" s="16">
        <v>5</v>
      </c>
      <c r="D25" s="16">
        <v>30</v>
      </c>
    </row>
    <row r="26" spans="1:4" x14ac:dyDescent="0.3">
      <c r="A26" s="69"/>
      <c r="B26" s="69"/>
      <c r="C26" s="69"/>
      <c r="D26" s="69"/>
    </row>
  </sheetData>
  <mergeCells count="2">
    <mergeCell ref="F2:I2"/>
    <mergeCell ref="F3: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tabColor rgb="FFFFC000"/>
  </sheetPr>
  <dimension ref="A1:B9"/>
  <sheetViews>
    <sheetView workbookViewId="0">
      <selection sqref="A1:B1"/>
    </sheetView>
  </sheetViews>
  <sheetFormatPr defaultRowHeight="14.4" x14ac:dyDescent="0.3"/>
  <cols>
    <col min="1" max="1" width="52.44140625" customWidth="1"/>
    <col min="2" max="2" width="48.33203125" style="10" customWidth="1"/>
  </cols>
  <sheetData>
    <row r="1" spans="1:2" s="13" customFormat="1" x14ac:dyDescent="0.3">
      <c r="A1" s="814" t="s">
        <v>23</v>
      </c>
      <c r="B1" s="814"/>
    </row>
    <row r="2" spans="1:2" x14ac:dyDescent="0.3">
      <c r="A2" s="812" t="s">
        <v>5</v>
      </c>
      <c r="B2" s="812"/>
    </row>
    <row r="3" spans="1:2" x14ac:dyDescent="0.3">
      <c r="A3" s="17" t="s">
        <v>19</v>
      </c>
      <c r="B3" s="18">
        <v>274</v>
      </c>
    </row>
    <row r="4" spans="1:2" x14ac:dyDescent="0.3">
      <c r="A4" s="17" t="s">
        <v>20</v>
      </c>
      <c r="B4" s="18">
        <v>125</v>
      </c>
    </row>
    <row r="5" spans="1:2" x14ac:dyDescent="0.3">
      <c r="A5" s="17" t="s">
        <v>21</v>
      </c>
      <c r="B5" s="18">
        <v>281</v>
      </c>
    </row>
    <row r="6" spans="1:2" x14ac:dyDescent="0.3">
      <c r="A6" s="17" t="s">
        <v>22</v>
      </c>
      <c r="B6" s="18">
        <v>199</v>
      </c>
    </row>
    <row r="7" spans="1:2" ht="15.75" customHeight="1" x14ac:dyDescent="0.3">
      <c r="A7" s="1" t="s">
        <v>17</v>
      </c>
      <c r="B7" s="4" t="s">
        <v>18</v>
      </c>
    </row>
    <row r="9" spans="1:2" x14ac:dyDescent="0.3">
      <c r="A9" s="3" t="s">
        <v>2</v>
      </c>
    </row>
  </sheetData>
  <mergeCells count="2">
    <mergeCell ref="A1:B1"/>
    <mergeCell ref="A2:B2"/>
  </mergeCells>
  <hyperlinks>
    <hyperlink ref="B7" r:id="rId1"/>
    <hyperlink ref="A9" location="TRM_MCS_measures!A1" display="Return To TRM_MCS_Measures"/>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Q56"/>
  <sheetViews>
    <sheetView topLeftCell="G1" zoomScale="70" zoomScaleNormal="70" workbookViewId="0">
      <selection activeCell="N4" sqref="N4"/>
    </sheetView>
  </sheetViews>
  <sheetFormatPr defaultColWidth="9.109375" defaultRowHeight="14.4" x14ac:dyDescent="0.3"/>
  <cols>
    <col min="1" max="1" width="22.44140625" style="95" customWidth="1"/>
    <col min="2" max="2" width="22.88671875" style="96" customWidth="1"/>
    <col min="3" max="3" width="66.44140625" style="96" customWidth="1"/>
    <col min="4" max="4" width="13.44140625" style="95" customWidth="1"/>
    <col min="5" max="5" width="14.88671875" customWidth="1"/>
    <col min="6" max="6" width="14.88671875" style="69" customWidth="1"/>
    <col min="7" max="7" width="19" customWidth="1"/>
    <col min="8" max="8" width="19.109375" customWidth="1"/>
    <col min="9" max="9" width="27" style="95" customWidth="1"/>
    <col min="10" max="10" width="42.33203125" style="95" customWidth="1"/>
    <col min="11" max="11" width="38.33203125" style="95" customWidth="1"/>
    <col min="12" max="12" width="17.6640625" style="95" customWidth="1"/>
    <col min="13" max="13" width="16.5546875" style="95" customWidth="1"/>
    <col min="14" max="14" width="15.6640625" style="95" customWidth="1"/>
    <col min="15" max="15" width="19.44140625" style="531" customWidth="1"/>
    <col min="16" max="16" width="22.109375" style="531" customWidth="1"/>
    <col min="17" max="17" width="19.5546875" style="531" customWidth="1"/>
    <col min="18" max="16384" width="9.109375" style="95"/>
  </cols>
  <sheetData>
    <row r="1" spans="1:17" ht="31.2" customHeight="1" x14ac:dyDescent="0.4">
      <c r="A1" s="218" t="s">
        <v>953</v>
      </c>
      <c r="B1" s="634" t="s">
        <v>952</v>
      </c>
      <c r="C1" s="635"/>
      <c r="D1" s="635"/>
      <c r="E1" s="635"/>
      <c r="F1" s="636"/>
      <c r="G1" s="634" t="s">
        <v>921</v>
      </c>
      <c r="H1" s="635"/>
      <c r="I1" s="635"/>
      <c r="J1" s="635"/>
      <c r="K1" s="636"/>
      <c r="L1" s="634" t="s">
        <v>958</v>
      </c>
      <c r="M1" s="635"/>
      <c r="N1" s="635"/>
      <c r="O1" s="635"/>
      <c r="P1" s="635"/>
      <c r="Q1" s="636"/>
    </row>
    <row r="2" spans="1:17" ht="75" customHeight="1" thickBot="1" x14ac:dyDescent="0.4">
      <c r="A2" s="259" t="s">
        <v>11</v>
      </c>
      <c r="B2" s="260" t="s">
        <v>11</v>
      </c>
      <c r="C2" s="219" t="s">
        <v>625</v>
      </c>
      <c r="D2" s="219" t="s">
        <v>553</v>
      </c>
      <c r="E2" s="219" t="s">
        <v>554</v>
      </c>
      <c r="F2" s="220" t="s">
        <v>555</v>
      </c>
      <c r="G2" s="260" t="s">
        <v>954</v>
      </c>
      <c r="H2" s="219" t="s">
        <v>955</v>
      </c>
      <c r="I2" s="219" t="s">
        <v>619</v>
      </c>
      <c r="J2" s="219" t="s">
        <v>620</v>
      </c>
      <c r="K2" s="220" t="s">
        <v>621</v>
      </c>
      <c r="L2" s="261" t="s">
        <v>919</v>
      </c>
      <c r="M2" s="262" t="s">
        <v>956</v>
      </c>
      <c r="N2" s="262" t="s">
        <v>920</v>
      </c>
      <c r="O2" s="523" t="s">
        <v>904</v>
      </c>
      <c r="P2" s="523" t="s">
        <v>905</v>
      </c>
      <c r="Q2" s="524" t="s">
        <v>906</v>
      </c>
    </row>
    <row r="3" spans="1:17" ht="72" x14ac:dyDescent="0.3">
      <c r="A3" s="637" t="s">
        <v>220</v>
      </c>
      <c r="B3" s="642" t="s">
        <v>616</v>
      </c>
      <c r="C3" s="211" t="s">
        <v>556</v>
      </c>
      <c r="D3" s="212">
        <v>30</v>
      </c>
      <c r="E3" s="212">
        <v>110</v>
      </c>
      <c r="F3" s="295" t="s">
        <v>557</v>
      </c>
      <c r="G3" s="298">
        <f>[4]YxZLuminaires_Analysis!$C$3</f>
        <v>11.69</v>
      </c>
      <c r="H3" s="299">
        <f>[4]YxZLuminaires_Analysis!$D$3</f>
        <v>300.3</v>
      </c>
      <c r="I3" s="278" t="s">
        <v>858</v>
      </c>
      <c r="J3" s="263" t="s">
        <v>859</v>
      </c>
      <c r="K3" s="264" t="s">
        <v>334</v>
      </c>
      <c r="L3" s="279">
        <f>AVERAGE(Itron_CA_IOU_LEDYxZLuminaires!D3,Itron_CA_IOU_LEDYxZLuminaires!D5,Itron_CA_IOU_LEDYxZLuminaires!D7)</f>
        <v>34.826023333333332</v>
      </c>
      <c r="M3" s="280">
        <f>AVERAGE(Itron_CA_IOU_LEDYxZLuminaires!E3,Itron_CA_IOU_LEDYxZLuminaires!E5,Itron_CA_IOU_LEDYxZLuminaires!E7)</f>
        <v>15.84545</v>
      </c>
      <c r="N3" s="280">
        <f>AVERAGE(Itron_CA_IOU_LEDYxZLuminaires!F3,Itron_CA_IOU_LEDYxZLuminaires!F5,Itron_CA_IOU_LEDYxZLuminaires!F7)</f>
        <v>20.333893551414164</v>
      </c>
      <c r="O3" s="525">
        <f>AVERAGE(Itron_CA_IOU_LEDYxZLuminaires!G3,Itron_CA_IOU_LEDYxZLuminaires!G5,Itron_CA_IOU_LEDYxZLuminaires!G7)</f>
        <v>18.980573333333332</v>
      </c>
      <c r="P3" s="525">
        <f>AVERAGE(Itron_CA_IOU_LEDYxZLuminaires!H3,Itron_CA_IOU_LEDYxZLuminaires!H5,Itron_CA_IOU_LEDYxZLuminaires!H7)</f>
        <v>55.159916884747496</v>
      </c>
      <c r="Q3" s="526">
        <f>AVERAGE(Itron_CA_IOU_LEDYxZLuminaires!I3,Itron_CA_IOU_LEDYxZLuminaires!I5,Itron_CA_IOU_LEDYxZLuminaires!I7)</f>
        <v>33.865618927364416</v>
      </c>
    </row>
    <row r="4" spans="1:17" ht="72" x14ac:dyDescent="0.3">
      <c r="A4" s="638"/>
      <c r="B4" s="646"/>
      <c r="C4" s="210" t="s">
        <v>558</v>
      </c>
      <c r="D4" s="213">
        <v>45</v>
      </c>
      <c r="E4" s="213">
        <v>110</v>
      </c>
      <c r="F4" s="296" t="s">
        <v>559</v>
      </c>
      <c r="G4" s="300">
        <f>[4]YxZLuminaires_Analysis!$C$3</f>
        <v>11.69</v>
      </c>
      <c r="H4" s="301">
        <f>[4]YxZLuminaires_Analysis!$D$3</f>
        <v>300.3</v>
      </c>
      <c r="I4" s="281" t="s">
        <v>341</v>
      </c>
      <c r="J4" s="265" t="s">
        <v>342</v>
      </c>
      <c r="K4" s="266" t="s">
        <v>334</v>
      </c>
      <c r="L4" s="282">
        <f>Itron_CA_IOU_LEDYxZLuminaires!D7</f>
        <v>35.369489999999999</v>
      </c>
      <c r="M4" s="283">
        <f>Itron_CA_IOU_LEDYxZLuminaires!E7</f>
        <v>15.84545</v>
      </c>
      <c r="N4" s="283">
        <f>Itron_CA_IOU_LEDYxZLuminaires!F7</f>
        <v>20.333893551414164</v>
      </c>
      <c r="O4" s="527">
        <f>Itron_CA_IOU_LEDYxZLuminaires!G7</f>
        <v>19.524039999999999</v>
      </c>
      <c r="P4" s="527">
        <f>Itron_CA_IOU_LEDYxZLuminaires!H7</f>
        <v>55.703383551414163</v>
      </c>
      <c r="Q4" s="528">
        <f>Itron_CA_IOU_LEDYxZLuminaires!I7</f>
        <v>34.40908559403109</v>
      </c>
    </row>
    <row r="5" spans="1:17" ht="18" x14ac:dyDescent="0.3">
      <c r="A5" s="638"/>
      <c r="B5" s="646"/>
      <c r="C5" s="210" t="s">
        <v>560</v>
      </c>
      <c r="D5" s="213" t="s">
        <v>561</v>
      </c>
      <c r="E5" s="213">
        <v>110</v>
      </c>
      <c r="F5" s="296" t="s">
        <v>562</v>
      </c>
      <c r="G5" s="302"/>
      <c r="H5" s="303"/>
      <c r="I5" s="281"/>
      <c r="J5" s="265"/>
      <c r="K5" s="266"/>
      <c r="L5" s="284"/>
      <c r="M5" s="285"/>
      <c r="N5" s="285"/>
      <c r="O5" s="527"/>
      <c r="P5" s="527"/>
      <c r="Q5" s="528"/>
    </row>
    <row r="6" spans="1:17" ht="18" x14ac:dyDescent="0.3">
      <c r="A6" s="638"/>
      <c r="B6" s="646"/>
      <c r="C6" s="210" t="s">
        <v>563</v>
      </c>
      <c r="D6" s="213">
        <v>20</v>
      </c>
      <c r="E6" s="213">
        <v>100</v>
      </c>
      <c r="F6" s="296" t="s">
        <v>559</v>
      </c>
      <c r="G6" s="302"/>
      <c r="H6" s="303"/>
      <c r="I6" s="281"/>
      <c r="J6" s="265"/>
      <c r="K6" s="266"/>
      <c r="L6" s="284"/>
      <c r="M6" s="285"/>
      <c r="N6" s="285"/>
      <c r="O6" s="527"/>
      <c r="P6" s="527"/>
      <c r="Q6" s="528"/>
    </row>
    <row r="7" spans="1:17" ht="18" x14ac:dyDescent="0.3">
      <c r="A7" s="638"/>
      <c r="B7" s="646"/>
      <c r="C7" s="210" t="s">
        <v>564</v>
      </c>
      <c r="D7" s="213" t="s">
        <v>565</v>
      </c>
      <c r="E7" s="213">
        <v>75</v>
      </c>
      <c r="F7" s="296" t="s">
        <v>566</v>
      </c>
      <c r="G7" s="302"/>
      <c r="H7" s="303"/>
      <c r="I7" s="281"/>
      <c r="J7" s="265"/>
      <c r="K7" s="266"/>
      <c r="L7" s="284"/>
      <c r="M7" s="285"/>
      <c r="N7" s="285"/>
      <c r="O7" s="527"/>
      <c r="P7" s="527"/>
      <c r="Q7" s="528"/>
    </row>
    <row r="8" spans="1:17" ht="18" x14ac:dyDescent="0.3">
      <c r="A8" s="638"/>
      <c r="B8" s="646"/>
      <c r="C8" s="210" t="s">
        <v>567</v>
      </c>
      <c r="D8" s="213">
        <v>25</v>
      </c>
      <c r="E8" s="213">
        <v>75</v>
      </c>
      <c r="F8" s="296" t="s">
        <v>568</v>
      </c>
      <c r="G8" s="302"/>
      <c r="H8" s="303"/>
      <c r="I8" s="281"/>
      <c r="J8" s="265"/>
      <c r="K8" s="266"/>
      <c r="L8" s="284"/>
      <c r="M8" s="285"/>
      <c r="N8" s="285"/>
      <c r="O8" s="527"/>
      <c r="P8" s="527"/>
      <c r="Q8" s="528"/>
    </row>
    <row r="9" spans="1:17" ht="36" x14ac:dyDescent="0.3">
      <c r="A9" s="638"/>
      <c r="B9" s="646"/>
      <c r="C9" s="210" t="s">
        <v>589</v>
      </c>
      <c r="D9" s="213">
        <v>30</v>
      </c>
      <c r="E9" s="213">
        <v>115</v>
      </c>
      <c r="F9" s="296" t="s">
        <v>590</v>
      </c>
      <c r="G9" s="300">
        <f>[4]YxZLuminaires_Analysis!$C$5</f>
        <v>10.872999999999999</v>
      </c>
      <c r="H9" s="301">
        <f>[4]YxZLuminaires_Analysis!$D$5</f>
        <v>93.26</v>
      </c>
      <c r="I9" s="281" t="s">
        <v>3</v>
      </c>
      <c r="J9" s="265"/>
      <c r="K9" s="266"/>
      <c r="L9" s="284"/>
      <c r="M9" s="285"/>
      <c r="N9" s="285"/>
      <c r="O9" s="527"/>
      <c r="P9" s="527"/>
      <c r="Q9" s="528"/>
    </row>
    <row r="10" spans="1:17" ht="36" x14ac:dyDescent="0.3">
      <c r="A10" s="638"/>
      <c r="B10" s="646"/>
      <c r="C10" s="210" t="s">
        <v>591</v>
      </c>
      <c r="D10" s="213">
        <v>45</v>
      </c>
      <c r="E10" s="213">
        <v>115</v>
      </c>
      <c r="F10" s="296" t="s">
        <v>592</v>
      </c>
      <c r="G10" s="300">
        <f>[4]YxZLuminaires_Analysis!$C$5</f>
        <v>10.872999999999999</v>
      </c>
      <c r="H10" s="301">
        <f>[4]YxZLuminaires_Analysis!$D$5</f>
        <v>93.26</v>
      </c>
      <c r="I10" s="281" t="s">
        <v>3</v>
      </c>
      <c r="J10" s="265"/>
      <c r="K10" s="266"/>
      <c r="L10" s="284"/>
      <c r="M10" s="285"/>
      <c r="N10" s="285"/>
      <c r="O10" s="527"/>
      <c r="P10" s="527"/>
      <c r="Q10" s="528"/>
    </row>
    <row r="11" spans="1:17" ht="72" x14ac:dyDescent="0.3">
      <c r="A11" s="638"/>
      <c r="B11" s="646"/>
      <c r="C11" s="210" t="s">
        <v>593</v>
      </c>
      <c r="D11" s="213">
        <v>30</v>
      </c>
      <c r="E11" s="213">
        <v>110</v>
      </c>
      <c r="F11" s="296" t="s">
        <v>594</v>
      </c>
      <c r="G11" s="300">
        <f>[4]YxZLuminaires_Analysis!$C$4</f>
        <v>12.97</v>
      </c>
      <c r="H11" s="301">
        <f>[4]YxZLuminaires_Analysis!$D$4</f>
        <v>80.849999999999994</v>
      </c>
      <c r="I11" s="281" t="s">
        <v>860</v>
      </c>
      <c r="J11" s="265" t="s">
        <v>861</v>
      </c>
      <c r="K11" s="266" t="s">
        <v>334</v>
      </c>
      <c r="L11" s="282">
        <f>AVERAGE(Itron_CA_IOU_LEDYxZLuminaires!D10,Itron_CA_IOU_LEDYxZLuminaires!D12,Itron_CA_IOU_LEDYxZLuminaires!D14)</f>
        <v>38.90881666666666</v>
      </c>
      <c r="M11" s="283">
        <f>AVERAGE(Itron_CA_IOU_LEDYxZLuminaires!E10,Itron_CA_IOU_LEDYxZLuminaires!E12,Itron_CA_IOU_LEDYxZLuminaires!E14)</f>
        <v>15.84545</v>
      </c>
      <c r="N11" s="283">
        <f>AVERAGE(Itron_CA_IOU_LEDYxZLuminaires!F10,Itron_CA_IOU_LEDYxZLuminaires!F12,Itron_CA_IOU_LEDYxZLuminaires!F14)</f>
        <v>20.333893551414164</v>
      </c>
      <c r="O11" s="527">
        <f>AVERAGE(Itron_CA_IOU_LEDYxZLuminaires!G10,Itron_CA_IOU_LEDYxZLuminaires!G12,Itron_CA_IOU_LEDYxZLuminaires!G14)</f>
        <v>23.063366666666663</v>
      </c>
      <c r="P11" s="527">
        <f>AVERAGE(Itron_CA_IOU_LEDYxZLuminaires!H10,Itron_CA_IOU_LEDYxZLuminaires!H12,Itron_CA_IOU_LEDYxZLuminaires!H14)</f>
        <v>59.242710218080823</v>
      </c>
      <c r="Q11" s="528">
        <f>AVERAGE(Itron_CA_IOU_LEDYxZLuminaires!I10,Itron_CA_IOU_LEDYxZLuminaires!I12,Itron_CA_IOU_LEDYxZLuminaires!I14)</f>
        <v>37.948412260697751</v>
      </c>
    </row>
    <row r="12" spans="1:17" ht="72" x14ac:dyDescent="0.3">
      <c r="A12" s="638"/>
      <c r="B12" s="646"/>
      <c r="C12" s="210" t="s">
        <v>595</v>
      </c>
      <c r="D12" s="213">
        <v>45</v>
      </c>
      <c r="E12" s="213">
        <v>110</v>
      </c>
      <c r="F12" s="296" t="s">
        <v>596</v>
      </c>
      <c r="G12" s="300">
        <f>[4]YxZLuminaires_Analysis!$C$4</f>
        <v>12.97</v>
      </c>
      <c r="H12" s="301">
        <f>[4]YxZLuminaires_Analysis!$D$4</f>
        <v>80.849999999999994</v>
      </c>
      <c r="I12" s="281" t="s">
        <v>353</v>
      </c>
      <c r="J12" s="265" t="s">
        <v>346</v>
      </c>
      <c r="K12" s="266" t="s">
        <v>334</v>
      </c>
      <c r="L12" s="282">
        <f>Itron_CA_IOU_LEDYxZLuminaires!D14</f>
        <v>41.605769999999993</v>
      </c>
      <c r="M12" s="283">
        <f>Itron_CA_IOU_LEDYxZLuminaires!E14</f>
        <v>15.84545</v>
      </c>
      <c r="N12" s="283">
        <f>Itron_CA_IOU_LEDYxZLuminaires!F14</f>
        <v>20.333893551414164</v>
      </c>
      <c r="O12" s="527">
        <f>Itron_CA_IOU_LEDYxZLuminaires!G14</f>
        <v>25.760319999999997</v>
      </c>
      <c r="P12" s="527">
        <f>Itron_CA_IOU_LEDYxZLuminaires!H14</f>
        <v>61.939663551414156</v>
      </c>
      <c r="Q12" s="528">
        <f>Itron_CA_IOU_LEDYxZLuminaires!I14</f>
        <v>40.645365594031084</v>
      </c>
    </row>
    <row r="13" spans="1:17" ht="18" x14ac:dyDescent="0.3">
      <c r="A13" s="638"/>
      <c r="B13" s="646"/>
      <c r="C13" s="210" t="s">
        <v>597</v>
      </c>
      <c r="D13" s="213" t="s">
        <v>561</v>
      </c>
      <c r="E13" s="213">
        <v>110</v>
      </c>
      <c r="F13" s="296" t="s">
        <v>598</v>
      </c>
      <c r="G13" s="300">
        <f>[4]YxZLuminaires_Analysis!$C$6</f>
        <v>42.94</v>
      </c>
      <c r="H13" s="301">
        <f>[4]YxZLuminaires_Analysis!$D$6</f>
        <v>47.6</v>
      </c>
      <c r="I13" s="281"/>
      <c r="J13" s="265"/>
      <c r="K13" s="266"/>
      <c r="L13" s="284"/>
      <c r="M13" s="285"/>
      <c r="N13" s="285"/>
      <c r="O13" s="527"/>
      <c r="P13" s="527"/>
      <c r="Q13" s="528"/>
    </row>
    <row r="14" spans="1:17" ht="18.600000000000001" thickBot="1" x14ac:dyDescent="0.35">
      <c r="A14" s="639"/>
      <c r="B14" s="643"/>
      <c r="C14" s="215" t="s">
        <v>601</v>
      </c>
      <c r="D14" s="214">
        <v>10</v>
      </c>
      <c r="E14" s="214">
        <v>110</v>
      </c>
      <c r="F14" s="297" t="s">
        <v>602</v>
      </c>
      <c r="G14" s="304"/>
      <c r="H14" s="305"/>
      <c r="I14" s="286"/>
      <c r="J14" s="267"/>
      <c r="K14" s="268"/>
      <c r="L14" s="287"/>
      <c r="M14" s="288"/>
      <c r="N14" s="288"/>
      <c r="O14" s="529"/>
      <c r="P14" s="529"/>
      <c r="Q14" s="530"/>
    </row>
    <row r="15" spans="1:17" ht="18" x14ac:dyDescent="0.3">
      <c r="A15" s="640" t="s">
        <v>539</v>
      </c>
      <c r="B15" s="642" t="s">
        <v>617</v>
      </c>
      <c r="C15" s="211" t="s">
        <v>569</v>
      </c>
      <c r="D15" s="212">
        <v>15</v>
      </c>
      <c r="E15" s="212">
        <v>70</v>
      </c>
      <c r="F15" s="295" t="s">
        <v>570</v>
      </c>
      <c r="G15" s="306"/>
      <c r="H15" s="307"/>
      <c r="I15" s="278"/>
      <c r="J15" s="263"/>
      <c r="K15" s="264"/>
      <c r="L15" s="289"/>
      <c r="M15" s="290"/>
      <c r="N15" s="290"/>
      <c r="O15" s="525"/>
      <c r="P15" s="525"/>
      <c r="Q15" s="526"/>
    </row>
    <row r="16" spans="1:17" ht="36.6" thickBot="1" x14ac:dyDescent="0.35">
      <c r="A16" s="641"/>
      <c r="B16" s="643"/>
      <c r="C16" s="215" t="s">
        <v>571</v>
      </c>
      <c r="D16" s="214">
        <v>15</v>
      </c>
      <c r="E16" s="214">
        <v>85</v>
      </c>
      <c r="F16" s="297" t="s">
        <v>572</v>
      </c>
      <c r="G16" s="304"/>
      <c r="H16" s="305"/>
      <c r="I16" s="286"/>
      <c r="J16" s="267"/>
      <c r="K16" s="268"/>
      <c r="L16" s="291">
        <f>Itron_CA_IOU_RefCaseLED!G4</f>
        <v>110.38397947368422</v>
      </c>
      <c r="M16" s="292">
        <f>Itron_CA_IOU_RefCaseLED!H4</f>
        <v>29.293032105263162</v>
      </c>
      <c r="N16" s="292">
        <f>Itron_CA_IOU_RefCaseLED!I4</f>
        <v>0</v>
      </c>
      <c r="O16" s="529">
        <f>Itron_CA_IOU_RefCaseLED!J4</f>
        <v>81.090947368421041</v>
      </c>
      <c r="P16" s="529">
        <f>Itron_CA_IOU_RefCaseLED!K4</f>
        <v>110.38397947368422</v>
      </c>
      <c r="Q16" s="530">
        <f>Itron_CA_IOU_RefCaseLED!L4</f>
        <v>115.41547818499116</v>
      </c>
    </row>
    <row r="17" spans="1:17" ht="54" x14ac:dyDescent="0.3">
      <c r="A17" s="647" t="s">
        <v>218</v>
      </c>
      <c r="B17" s="642" t="s">
        <v>218</v>
      </c>
      <c r="C17" s="211" t="s">
        <v>573</v>
      </c>
      <c r="D17" s="212">
        <v>60</v>
      </c>
      <c r="E17" s="212">
        <v>110</v>
      </c>
      <c r="F17" s="295" t="s">
        <v>574</v>
      </c>
      <c r="G17" s="306">
        <f>[4]HighBay_Analysis!$B$3</f>
        <v>40.92</v>
      </c>
      <c r="H17" s="307">
        <f>[4]HighBay_Analysis!$C$3</f>
        <v>126.4</v>
      </c>
      <c r="I17" s="293" t="s">
        <v>825</v>
      </c>
      <c r="J17" s="269" t="s">
        <v>284</v>
      </c>
      <c r="K17" s="270" t="s">
        <v>826</v>
      </c>
      <c r="L17" s="279">
        <f>AVERAGE('Itron_CA_IOU_LEDHigh&amp;LowBay'!I27,'Itron_CA_IOU_LEDHigh&amp;LowBay'!I36,'Itron_CA_IOU_LEDHigh&amp;LowBay'!I39)</f>
        <v>270.18589072029744</v>
      </c>
      <c r="M17" s="280">
        <f>AVERAGE('Itron_CA_IOU_LEDHigh&amp;LowBay'!J27,'Itron_CA_IOU_LEDHigh&amp;LowBay'!J36,'Itron_CA_IOU_LEDHigh&amp;LowBay'!J39)</f>
        <v>227.64464385821771</v>
      </c>
      <c r="N17" s="280">
        <f>AVERAGE('Itron_CA_IOU_LEDHigh&amp;LowBay'!K27,'Itron_CA_IOU_LEDHigh&amp;LowBay'!K36,'Itron_CA_IOU_LEDHigh&amp;LowBay'!K39)</f>
        <v>116.17338702233705</v>
      </c>
      <c r="O17" s="525">
        <f>AVERAGE('Itron_CA_IOU_LEDHigh&amp;LowBay'!L27,'Itron_CA_IOU_LEDHigh&amp;LowBay'!L36,'Itron_CA_IOU_LEDHigh&amp;LowBay'!L39)</f>
        <v>42.541246862079738</v>
      </c>
      <c r="P17" s="525">
        <f>AVERAGE('Itron_CA_IOU_LEDHigh&amp;LowBay'!M27,'Itron_CA_IOU_LEDHigh&amp;LowBay'!M36,'Itron_CA_IOU_LEDHigh&amp;LowBay'!M39)</f>
        <v>386.3592777426345</v>
      </c>
      <c r="Q17" s="526">
        <f>AVERAGE('Itron_CA_IOU_LEDHigh&amp;LowBay'!N27,'Itron_CA_IOU_LEDHigh&amp;LowBay'!N36,'Itron_CA_IOU_LEDHigh&amp;LowBay'!N39)</f>
        <v>180.09366779610707</v>
      </c>
    </row>
    <row r="18" spans="1:17" ht="234" x14ac:dyDescent="0.3">
      <c r="A18" s="648"/>
      <c r="B18" s="646"/>
      <c r="C18" s="210" t="s">
        <v>575</v>
      </c>
      <c r="D18" s="213">
        <v>200</v>
      </c>
      <c r="E18" s="213">
        <v>110</v>
      </c>
      <c r="F18" s="296" t="s">
        <v>576</v>
      </c>
      <c r="G18" s="302">
        <f>[4]HighBay_Analysis!$D$3</f>
        <v>15.9</v>
      </c>
      <c r="H18" s="303">
        <f>[4]HighBay_Analysis!$E$3</f>
        <v>250.5</v>
      </c>
      <c r="I18" s="294" t="s">
        <v>829</v>
      </c>
      <c r="J18" s="271" t="s">
        <v>827</v>
      </c>
      <c r="K18" s="272" t="s">
        <v>828</v>
      </c>
      <c r="L18" s="282">
        <f>AVERAGE('Itron_CA_IOU_LEDHigh&amp;LowBay'!I27:I31, 'Itron_CA_IOU_LEDHigh&amp;LowBay'!I36:I38, 'Itron_CA_IOU_LEDHigh&amp;LowBay'!I39:I43)</f>
        <v>438.17459883954609</v>
      </c>
      <c r="M18" s="283">
        <f>AVERAGE('Itron_CA_IOU_LEDHigh&amp;LowBay'!J27:J31, 'Itron_CA_IOU_LEDHigh&amp;LowBay'!J36:J38, 'Itron_CA_IOU_LEDHigh&amp;LowBay'!J39:J43)</f>
        <v>259.93098528405528</v>
      </c>
      <c r="N18" s="283">
        <f>AVERAGE('Itron_CA_IOU_LEDHigh&amp;LowBay'!K27:K31, 'Itron_CA_IOU_LEDHigh&amp;LowBay'!K36:K38, 'Itron_CA_IOU_LEDHigh&amp;LowBay'!K39:K43)</f>
        <v>116.17338702233702</v>
      </c>
      <c r="O18" s="527">
        <f>AVERAGE('Itron_CA_IOU_LEDHigh&amp;LowBay'!L27:L31, 'Itron_CA_IOU_LEDHigh&amp;LowBay'!L36:L38, 'Itron_CA_IOU_LEDHigh&amp;LowBay'!L39:L43)</f>
        <v>178.24361355549081</v>
      </c>
      <c r="P18" s="527">
        <f>AVERAGE('Itron_CA_IOU_LEDHigh&amp;LowBay'!M27:M31, 'Itron_CA_IOU_LEDHigh&amp;LowBay'!M36:M38, 'Itron_CA_IOU_LEDHigh&amp;LowBay'!M39:M43)</f>
        <v>554.34798586188322</v>
      </c>
      <c r="Q18" s="528">
        <f>AVERAGE('Itron_CA_IOU_LEDHigh&amp;LowBay'!N27:N31, 'Itron_CA_IOU_LEDHigh&amp;LowBay'!N36:N38, 'Itron_CA_IOU_LEDHigh&amp;LowBay'!N39:N43)</f>
        <v>328.7129382797367</v>
      </c>
    </row>
    <row r="19" spans="1:17" ht="288" x14ac:dyDescent="0.3">
      <c r="A19" s="648"/>
      <c r="B19" s="646"/>
      <c r="C19" s="210" t="s">
        <v>577</v>
      </c>
      <c r="D19" s="213">
        <v>250</v>
      </c>
      <c r="E19" s="213">
        <v>110</v>
      </c>
      <c r="F19" s="296" t="s">
        <v>578</v>
      </c>
      <c r="G19" s="302">
        <f>[4]HighBay_Analysis!$F$3</f>
        <v>106.9</v>
      </c>
      <c r="H19" s="303">
        <f>[4]HighBay_Analysis!$G$3</f>
        <v>367.3</v>
      </c>
      <c r="I19" s="294" t="s">
        <v>830</v>
      </c>
      <c r="J19" s="271" t="s">
        <v>831</v>
      </c>
      <c r="K19" s="272" t="s">
        <v>832</v>
      </c>
      <c r="L19" s="282">
        <f>AVERAGE('Itron_CA_IOU_LEDHigh&amp;LowBay'!I27:I33, 'Itron_CA_IOU_LEDHigh&amp;LowBay'!I36:I44)</f>
        <v>499.43452727481105</v>
      </c>
      <c r="M19" s="283">
        <f>AVERAGE('Itron_CA_IOU_LEDHigh&amp;LowBay'!J27:J33, 'Itron_CA_IOU_LEDHigh&amp;LowBay'!J36:J44)</f>
        <v>266.37502739243547</v>
      </c>
      <c r="N19" s="283">
        <f>AVERAGE('Itron_CA_IOU_LEDHigh&amp;LowBay'!K27:K33, 'Itron_CA_IOU_LEDHigh&amp;LowBay'!K36:K44)</f>
        <v>116.17338702233702</v>
      </c>
      <c r="O19" s="527">
        <f>AVERAGE('Itron_CA_IOU_LEDHigh&amp;LowBay'!L27:L33, 'Itron_CA_IOU_LEDHigh&amp;LowBay'!L36:L44)</f>
        <v>233.05949988237555</v>
      </c>
      <c r="P19" s="527">
        <f>AVERAGE('Itron_CA_IOU_LEDHigh&amp;LowBay'!M27:M33, 'Itron_CA_IOU_LEDHigh&amp;LowBay'!M36:M44)</f>
        <v>615.60791429714811</v>
      </c>
      <c r="Q19" s="528">
        <f>AVERAGE('Itron_CA_IOU_LEDHigh&amp;LowBay'!N27:N33, 'Itron_CA_IOU_LEDHigh&amp;LowBay'!N36:N44)</f>
        <v>386.1069139242129</v>
      </c>
    </row>
    <row r="20" spans="1:17" ht="216" x14ac:dyDescent="0.3">
      <c r="A20" s="648"/>
      <c r="B20" s="646"/>
      <c r="C20" s="210" t="s">
        <v>579</v>
      </c>
      <c r="D20" s="213">
        <v>700</v>
      </c>
      <c r="E20" s="213">
        <v>110</v>
      </c>
      <c r="F20" s="296" t="s">
        <v>580</v>
      </c>
      <c r="G20" s="302">
        <f>[4]HighBay_Analysis!$H$3</f>
        <v>186.5</v>
      </c>
      <c r="H20" s="303">
        <f>[4]HighBay_Analysis!$I$3</f>
        <v>1298</v>
      </c>
      <c r="I20" s="294" t="s">
        <v>833</v>
      </c>
      <c r="J20" s="271" t="s">
        <v>834</v>
      </c>
      <c r="K20" s="273" t="s">
        <v>835</v>
      </c>
      <c r="L20" s="282">
        <f>AVERAGE('Itron_CA_IOU_LEDHigh&amp;LowBay'!I30:I35, 'Itron_CA_IOU_LEDHigh&amp;LowBay'!I38, 'Itron_CA_IOU_LEDHigh&amp;LowBay'!I42:I46)</f>
        <v>868.4672534491973</v>
      </c>
      <c r="M20" s="283">
        <f>AVERAGE('Itron_CA_IOU_LEDHigh&amp;LowBay'!J30:J35, 'Itron_CA_IOU_LEDHigh&amp;LowBay'!J38, 'Itron_CA_IOU_LEDHigh&amp;LowBay'!J42:J46)</f>
        <v>307.09312920279473</v>
      </c>
      <c r="N20" s="283">
        <f>AVERAGE('Itron_CA_IOU_LEDHigh&amp;LowBay'!K30:K35, 'Itron_CA_IOU_LEDHigh&amp;LowBay'!K38, 'Itron_CA_IOU_LEDHigh&amp;LowBay'!K42:K46)</f>
        <v>116.17338702233702</v>
      </c>
      <c r="O20" s="527">
        <f>AVERAGE('Itron_CA_IOU_LEDHigh&amp;LowBay'!L30:L35, 'Itron_CA_IOU_LEDHigh&amp;LowBay'!L38, 'Itron_CA_IOU_LEDHigh&amp;LowBay'!L42:L46)</f>
        <v>561.3741242464024</v>
      </c>
      <c r="P20" s="527">
        <f>AVERAGE('Itron_CA_IOU_LEDHigh&amp;LowBay'!M30:M35, 'Itron_CA_IOU_LEDHigh&amp;LowBay'!M38, 'Itron_CA_IOU_LEDHigh&amp;LowBay'!M42:M46)</f>
        <v>984.64064047153408</v>
      </c>
      <c r="Q20" s="528">
        <f>AVERAGE('Itron_CA_IOU_LEDHigh&amp;LowBay'!N30:N35, 'Itron_CA_IOU_LEDHigh&amp;LowBay'!N38, 'Itron_CA_IOU_LEDHigh&amp;LowBay'!N42:N46)</f>
        <v>730.71176444510729</v>
      </c>
    </row>
    <row r="21" spans="1:17" ht="324" x14ac:dyDescent="0.3">
      <c r="A21" s="648"/>
      <c r="B21" s="646"/>
      <c r="C21" s="210" t="s">
        <v>599</v>
      </c>
      <c r="D21" s="213">
        <v>60</v>
      </c>
      <c r="E21" s="213">
        <v>110</v>
      </c>
      <c r="F21" s="296" t="s">
        <v>572</v>
      </c>
      <c r="G21" s="302">
        <f>[4]HighBay_Analysis!$B$6</f>
        <v>32.363</v>
      </c>
      <c r="H21" s="303">
        <f>[4]HighBay_Analysis!$C$6</f>
        <v>438.5</v>
      </c>
      <c r="I21" s="294" t="s">
        <v>836</v>
      </c>
      <c r="J21" s="271" t="s">
        <v>837</v>
      </c>
      <c r="K21" s="272" t="s">
        <v>838</v>
      </c>
      <c r="L21" s="282">
        <f>AVERAGE('Itron_CA_IOU_LEDHigh&amp;LowBay'!I27:I34, 'Itron_CA_IOU_LEDHigh&amp;LowBay'!I36:I45)</f>
        <v>564.81681185881541</v>
      </c>
      <c r="M21" s="283">
        <f>AVERAGE('Itron_CA_IOU_LEDHigh&amp;LowBay'!J27:J34, 'Itron_CA_IOU_LEDHigh&amp;LowBay'!J36:J45)</f>
        <v>272.3381097476211</v>
      </c>
      <c r="N21" s="283">
        <f>AVERAGE('Itron_CA_IOU_LEDHigh&amp;LowBay'!K27:K34, 'Itron_CA_IOU_LEDHigh&amp;LowBay'!K36:K45)</f>
        <v>116.17338702233704</v>
      </c>
      <c r="O21" s="527">
        <f>AVERAGE('Itron_CA_IOU_LEDHigh&amp;LowBay'!L27:L34, 'Itron_CA_IOU_LEDHigh&amp;LowBay'!L36:L45)</f>
        <v>292.47870211119414</v>
      </c>
      <c r="P21" s="527">
        <f>AVERAGE('Itron_CA_IOU_LEDHigh&amp;LowBay'!M27:M34, 'Itron_CA_IOU_LEDHigh&amp;LowBay'!M36:M45)</f>
        <v>680.99019888115242</v>
      </c>
      <c r="Q21" s="528">
        <f>AVERAGE('Itron_CA_IOU_LEDHigh&amp;LowBay'!N27:N34, 'Itron_CA_IOU_LEDHigh&amp;LowBay'!N36:N45)</f>
        <v>447.91178630559466</v>
      </c>
    </row>
    <row r="22" spans="1:17" ht="36.6" thickBot="1" x14ac:dyDescent="0.35">
      <c r="A22" s="649"/>
      <c r="B22" s="643"/>
      <c r="C22" s="215" t="s">
        <v>603</v>
      </c>
      <c r="D22" s="214">
        <v>60</v>
      </c>
      <c r="E22" s="214">
        <v>100</v>
      </c>
      <c r="F22" s="297" t="s">
        <v>604</v>
      </c>
      <c r="G22" s="304"/>
      <c r="H22" s="305"/>
      <c r="I22" s="286"/>
      <c r="J22" s="274"/>
      <c r="K22" s="275"/>
      <c r="L22" s="287"/>
      <c r="M22" s="288"/>
      <c r="N22" s="288"/>
      <c r="O22" s="529"/>
      <c r="P22" s="529"/>
      <c r="Q22" s="530"/>
    </row>
    <row r="23" spans="1:17" ht="36" x14ac:dyDescent="0.3">
      <c r="A23" s="647" t="s">
        <v>823</v>
      </c>
      <c r="B23" s="642" t="s">
        <v>225</v>
      </c>
      <c r="C23" s="211" t="s">
        <v>624</v>
      </c>
      <c r="D23" s="212">
        <v>35</v>
      </c>
      <c r="E23" s="212">
        <v>90</v>
      </c>
      <c r="F23" s="295" t="s">
        <v>581</v>
      </c>
      <c r="G23" s="306">
        <f>[4]AllOutdoor_Analysis!$D$3</f>
        <v>17.88</v>
      </c>
      <c r="H23" s="307">
        <f>[4]AllOutdoor_Analysis!$E$3</f>
        <v>70.930000000000007</v>
      </c>
      <c r="I23" s="278" t="s">
        <v>839</v>
      </c>
      <c r="J23" s="276" t="s">
        <v>840</v>
      </c>
      <c r="K23" s="277" t="s">
        <v>841</v>
      </c>
      <c r="L23" s="279">
        <f>AVERAGE(Itron_CA_IOU_OutdoorLED!I19:I20)</f>
        <v>738.62</v>
      </c>
      <c r="M23" s="280">
        <f>AVERAGE(Itron_CA_IOU_OutdoorLED!J19:J20)</f>
        <v>299.98</v>
      </c>
      <c r="N23" s="280">
        <f>AVERAGE(Itron_CA_IOU_OutdoorLED!K19:K20)</f>
        <v>138.00194092042932</v>
      </c>
      <c r="O23" s="525">
        <f>AVERAGE(Itron_CA_IOU_OutdoorLED!L19:L20)</f>
        <v>438.64</v>
      </c>
      <c r="P23" s="525">
        <f>AVERAGE(Itron_CA_IOU_OutdoorLED!M19:M20)</f>
        <v>876.62194092042932</v>
      </c>
      <c r="Q23" s="526">
        <f>AVERAGE(Itron_CA_IOU_OutdoorLED!N19:N20)</f>
        <v>613.86488900507652</v>
      </c>
    </row>
    <row r="24" spans="1:17" ht="54" x14ac:dyDescent="0.3">
      <c r="A24" s="648"/>
      <c r="B24" s="646"/>
      <c r="C24" s="210" t="s">
        <v>582</v>
      </c>
      <c r="D24" s="213">
        <v>150</v>
      </c>
      <c r="E24" s="213">
        <v>95</v>
      </c>
      <c r="F24" s="296" t="s">
        <v>574</v>
      </c>
      <c r="G24" s="302">
        <f>[4]AllOutdoor_Analysis!$F$4</f>
        <v>19.05</v>
      </c>
      <c r="H24" s="303">
        <f>[4]AllOutdoor_Analysis!$G$4</f>
        <v>128.5</v>
      </c>
      <c r="I24" s="281" t="s">
        <v>842</v>
      </c>
      <c r="J24" s="271" t="s">
        <v>843</v>
      </c>
      <c r="K24" s="273" t="s">
        <v>844</v>
      </c>
      <c r="L24" s="282">
        <f>AVERAGE(Itron_CA_IOU_OutdoorLED!I18:I20)</f>
        <v>833.76666666666677</v>
      </c>
      <c r="M24" s="283">
        <f>AVERAGE(Itron_CA_IOU_OutdoorLED!J18:J20)</f>
        <v>308.19666666666666</v>
      </c>
      <c r="N24" s="283">
        <f>AVERAGE(Itron_CA_IOU_OutdoorLED!K18:K20)</f>
        <v>138.00194092042932</v>
      </c>
      <c r="O24" s="527">
        <f>AVERAGE(Itron_CA_IOU_OutdoorLED!L18:L20)</f>
        <v>525.57000000000005</v>
      </c>
      <c r="P24" s="527">
        <f>AVERAGE(Itron_CA_IOU_OutdoorLED!M18:M20)</f>
        <v>971.76860758709597</v>
      </c>
      <c r="Q24" s="528">
        <f>AVERAGE(Itron_CA_IOU_OutdoorLED!N18:N20)</f>
        <v>704.08215811400976</v>
      </c>
    </row>
    <row r="25" spans="1:17" ht="54" x14ac:dyDescent="0.3">
      <c r="A25" s="648"/>
      <c r="B25" s="646"/>
      <c r="C25" s="210" t="s">
        <v>583</v>
      </c>
      <c r="D25" s="213">
        <v>300</v>
      </c>
      <c r="E25" s="213">
        <v>100</v>
      </c>
      <c r="F25" s="296" t="s">
        <v>584</v>
      </c>
      <c r="G25" s="302">
        <f>[4]AllOutdoor_Analysis!$H$5</f>
        <v>74.84</v>
      </c>
      <c r="H25" s="303">
        <f>[4]AllOutdoor_Analysis!$I$5</f>
        <v>199.5</v>
      </c>
      <c r="I25" s="281" t="s">
        <v>845</v>
      </c>
      <c r="J25" s="265" t="s">
        <v>846</v>
      </c>
      <c r="K25" s="266" t="s">
        <v>847</v>
      </c>
      <c r="L25" s="282">
        <f>AVERAGE(Itron_CA_IOU_OutdoorLED!I16:I18)</f>
        <v>1256.2166666666667</v>
      </c>
      <c r="M25" s="283">
        <f>AVERAGE(Itron_CA_IOU_OutdoorLED!J16:J18)</f>
        <v>343.59</v>
      </c>
      <c r="N25" s="283">
        <f>AVERAGE(Itron_CA_IOU_OutdoorLED!K16:K18)</f>
        <v>138.00194092042932</v>
      </c>
      <c r="O25" s="527">
        <f>AVERAGE(Itron_CA_IOU_OutdoorLED!L16:L18)</f>
        <v>912.62666666666667</v>
      </c>
      <c r="P25" s="527">
        <f>AVERAGE(Itron_CA_IOU_OutdoorLED!M16:M18)</f>
        <v>1394.2186075870959</v>
      </c>
      <c r="Q25" s="528">
        <f>AVERAGE(Itron_CA_IOU_OutdoorLED!N16:N18)</f>
        <v>1105.2987531371284</v>
      </c>
    </row>
    <row r="26" spans="1:17" ht="54" x14ac:dyDescent="0.3">
      <c r="A26" s="648"/>
      <c r="B26" s="646"/>
      <c r="C26" s="210" t="s">
        <v>585</v>
      </c>
      <c r="D26" s="213">
        <v>550</v>
      </c>
      <c r="E26" s="213">
        <v>100</v>
      </c>
      <c r="F26" s="296" t="s">
        <v>586</v>
      </c>
      <c r="G26" s="302">
        <f>[4]AllOutdoor_Analysis!$J$5</f>
        <v>149.30000000000001</v>
      </c>
      <c r="H26" s="303">
        <f>[4]AllOutdoor_Analysis!$K$5</f>
        <v>303.8</v>
      </c>
      <c r="I26" s="281" t="s">
        <v>848</v>
      </c>
      <c r="J26" s="265" t="s">
        <v>849</v>
      </c>
      <c r="K26" s="266" t="s">
        <v>850</v>
      </c>
      <c r="L26" s="282">
        <f>AVERAGE(Itron_CA_IOU_OutdoorLED!I14:I16)</f>
        <v>1693.89</v>
      </c>
      <c r="M26" s="283">
        <f>AVERAGE(Itron_CA_IOU_OutdoorLED!J14:J16)</f>
        <v>389.09333333333331</v>
      </c>
      <c r="N26" s="283">
        <f>AVERAGE(Itron_CA_IOU_OutdoorLED!K14:K16)</f>
        <v>138.00194092042932</v>
      </c>
      <c r="O26" s="527">
        <f>AVERAGE(Itron_CA_IOU_OutdoorLED!L14:L16)</f>
        <v>1304.7966666666669</v>
      </c>
      <c r="P26" s="527">
        <f>AVERAGE(Itron_CA_IOU_OutdoorLED!M14:M16)</f>
        <v>1831.8919409204293</v>
      </c>
      <c r="Q26" s="528">
        <f>AVERAGE(Itron_CA_IOU_OutdoorLED!N14:N16)</f>
        <v>1515.6734227541867</v>
      </c>
    </row>
    <row r="27" spans="1:17" ht="54" x14ac:dyDescent="0.3">
      <c r="A27" s="648"/>
      <c r="B27" s="646"/>
      <c r="C27" s="210" t="s">
        <v>587</v>
      </c>
      <c r="D27" s="213">
        <v>700</v>
      </c>
      <c r="E27" s="213">
        <v>100</v>
      </c>
      <c r="F27" s="296" t="s">
        <v>588</v>
      </c>
      <c r="G27" s="302">
        <f>[4]AllOutdoor_Analysis!$L$6</f>
        <v>238.7</v>
      </c>
      <c r="H27" s="303">
        <f>[4]AllOutdoor_Analysis!$M$6</f>
        <v>364.6</v>
      </c>
      <c r="I27" s="281" t="s">
        <v>654</v>
      </c>
      <c r="J27" s="265" t="s">
        <v>655</v>
      </c>
      <c r="K27" s="266" t="s">
        <v>698</v>
      </c>
      <c r="L27" s="282">
        <f>Itron_CA_IOU_OutdoorLED!I14</f>
        <v>1908.92</v>
      </c>
      <c r="M27" s="283">
        <f>Itron_CA_IOU_OutdoorLED!J14</f>
        <v>419.43</v>
      </c>
      <c r="N27" s="283">
        <f>Itron_CA_IOU_OutdoorLED!K14</f>
        <v>138.00194092042932</v>
      </c>
      <c r="O27" s="527">
        <f>Itron_CA_IOU_OutdoorLED!L14</f>
        <v>1489.49</v>
      </c>
      <c r="P27" s="527">
        <f>Itron_CA_IOU_OutdoorLED!M14</f>
        <v>2046.9219409204293</v>
      </c>
      <c r="Q27" s="528">
        <f>Itron_CA_IOU_OutdoorLED!N14</f>
        <v>1712.5036470248026</v>
      </c>
    </row>
    <row r="28" spans="1:17" ht="72.599999999999994" thickBot="1" x14ac:dyDescent="0.35">
      <c r="A28" s="649"/>
      <c r="B28" s="643"/>
      <c r="C28" s="215" t="s">
        <v>600</v>
      </c>
      <c r="D28" s="214">
        <v>35</v>
      </c>
      <c r="E28" s="214">
        <v>90</v>
      </c>
      <c r="F28" s="297" t="s">
        <v>572</v>
      </c>
      <c r="G28" s="304">
        <f>[4]AllOutdoor_Analysis!$D$13</f>
        <v>21.22</v>
      </c>
      <c r="H28" s="305">
        <f>[4]AllOutdoor_Analysis!$E$13</f>
        <v>136.66999999999999</v>
      </c>
      <c r="I28" s="286" t="s">
        <v>851</v>
      </c>
      <c r="J28" s="267" t="s">
        <v>852</v>
      </c>
      <c r="K28" s="275" t="s">
        <v>853</v>
      </c>
      <c r="L28" s="291">
        <f>AVERAGE(Itron_CA_IOU_OutdoorLED!I17:I20)</f>
        <v>938.42750000000001</v>
      </c>
      <c r="M28" s="292">
        <f>AVERAGE(Itron_CA_IOU_OutdoorLED!J17:J20)</f>
        <v>317.04500000000002</v>
      </c>
      <c r="N28" s="292">
        <f>AVERAGE(Itron_CA_IOU_OutdoorLED!K17:K20)</f>
        <v>138.00194092042932</v>
      </c>
      <c r="O28" s="529">
        <f>AVERAGE(Itron_CA_IOU_OutdoorLED!L17:L20)</f>
        <v>621.38249999999994</v>
      </c>
      <c r="P28" s="529">
        <f>AVERAGE(Itron_CA_IOU_OutdoorLED!M17:M20)</f>
        <v>1076.4294409204292</v>
      </c>
      <c r="Q28" s="530">
        <f>AVERAGE(Itron_CA_IOU_OutdoorLED!N17:N20)</f>
        <v>803.43464020312274</v>
      </c>
    </row>
    <row r="29" spans="1:17" ht="198" x14ac:dyDescent="0.3">
      <c r="A29" s="647" t="s">
        <v>824</v>
      </c>
      <c r="B29" s="642" t="s">
        <v>223</v>
      </c>
      <c r="C29" s="211" t="s">
        <v>624</v>
      </c>
      <c r="D29" s="212">
        <v>35</v>
      </c>
      <c r="E29" s="212">
        <v>90</v>
      </c>
      <c r="F29" s="295" t="s">
        <v>581</v>
      </c>
      <c r="G29" s="306">
        <f>[4]AllOutdoor_Analysis!$D$7</f>
        <v>6.32</v>
      </c>
      <c r="H29" s="307">
        <f>[4]AllOutdoor_Analysis!$E$7</f>
        <v>205.43</v>
      </c>
      <c r="I29" s="278" t="s">
        <v>949</v>
      </c>
      <c r="J29" s="276" t="s">
        <v>854</v>
      </c>
      <c r="K29" s="277" t="s">
        <v>853</v>
      </c>
      <c r="L29" s="279">
        <f>AVERAGE(Itron_CA_IOU_OutdoorLED!I23:I27, Itron_CA_IOU_OutdoorLED!I30:I34)</f>
        <v>1044.4560000000001</v>
      </c>
      <c r="M29" s="280">
        <f>AVERAGE(Itron_CA_IOU_OutdoorLED!J23:J27, Itron_CA_IOU_OutdoorLED!J30:J34)</f>
        <v>688.07600000000002</v>
      </c>
      <c r="N29" s="280">
        <f>AVERAGE(Itron_CA_IOU_OutdoorLED!K23:K27, Itron_CA_IOU_OutdoorLED!K30:K34)</f>
        <v>138.00194092042929</v>
      </c>
      <c r="O29" s="525">
        <f>AVERAGE(Itron_CA_IOU_OutdoorLED!L23:L27, Itron_CA_IOU_OutdoorLED!L30:L34)</f>
        <v>356.38</v>
      </c>
      <c r="P29" s="525">
        <f>AVERAGE(Itron_CA_IOU_OutdoorLED!M23:M27, Itron_CA_IOU_OutdoorLED!M30:M34)</f>
        <v>1182.4579409204293</v>
      </c>
      <c r="Q29" s="526">
        <f>AVERAGE(Itron_CA_IOU_OutdoorLED!N23:N27, Itron_CA_IOU_OutdoorLED!N30:N34)</f>
        <v>686.8717440274595</v>
      </c>
    </row>
    <row r="30" spans="1:17" ht="126" x14ac:dyDescent="0.3">
      <c r="A30" s="648"/>
      <c r="B30" s="646"/>
      <c r="C30" s="210" t="s">
        <v>582</v>
      </c>
      <c r="D30" s="213">
        <v>150</v>
      </c>
      <c r="E30" s="213">
        <v>95</v>
      </c>
      <c r="F30" s="296" t="s">
        <v>574</v>
      </c>
      <c r="G30" s="302">
        <f>[4]AllOutdoor_Analysis!$F$8</f>
        <v>17.16</v>
      </c>
      <c r="H30" s="303">
        <f>[4]AllOutdoor_Analysis!$G$8</f>
        <v>587</v>
      </c>
      <c r="I30" s="281" t="s">
        <v>855</v>
      </c>
      <c r="J30" s="265" t="s">
        <v>856</v>
      </c>
      <c r="K30" s="273" t="s">
        <v>857</v>
      </c>
      <c r="L30" s="282">
        <f>AVERAGE(Itron_CA_IOU_OutdoorLED!I21:I34)</f>
        <v>1241.28</v>
      </c>
      <c r="M30" s="283">
        <f>AVERAGE(Itron_CA_IOU_OutdoorLED!J21:J34)</f>
        <v>696.93142857142868</v>
      </c>
      <c r="N30" s="283">
        <f>AVERAGE(Itron_CA_IOU_OutdoorLED!K21:K34)</f>
        <v>138.00194092042926</v>
      </c>
      <c r="O30" s="527">
        <f>AVERAGE(Itron_CA_IOU_OutdoorLED!L21:L34)</f>
        <v>544.3485714285714</v>
      </c>
      <c r="P30" s="527">
        <f>AVERAGE(Itron_CA_IOU_OutdoorLED!M21:M34)</f>
        <v>1379.2819409204292</v>
      </c>
      <c r="Q30" s="528">
        <f>AVERAGE(Itron_CA_IOU_OutdoorLED!N21:N34)</f>
        <v>878.38313616060157</v>
      </c>
    </row>
    <row r="31" spans="1:17" ht="126" x14ac:dyDescent="0.3">
      <c r="A31" s="648"/>
      <c r="B31" s="646"/>
      <c r="C31" s="210" t="s">
        <v>583</v>
      </c>
      <c r="D31" s="213">
        <v>300</v>
      </c>
      <c r="E31" s="213">
        <v>100</v>
      </c>
      <c r="F31" s="296" t="s">
        <v>584</v>
      </c>
      <c r="G31" s="302">
        <f>[4]AllOutdoor_Analysis!$H$9</f>
        <v>34.841999999999999</v>
      </c>
      <c r="H31" s="303">
        <f>[4]AllOutdoor_Analysis!$I$9</f>
        <v>267.39999999999998</v>
      </c>
      <c r="I31" s="281" t="s">
        <v>855</v>
      </c>
      <c r="J31" s="265" t="s">
        <v>856</v>
      </c>
      <c r="K31" s="273" t="s">
        <v>857</v>
      </c>
      <c r="L31" s="282">
        <f>AVERAGE(Itron_CA_IOU_OutdoorLED!I21:I34)</f>
        <v>1241.28</v>
      </c>
      <c r="M31" s="283">
        <f>AVERAGE(Itron_CA_IOU_OutdoorLED!J21:J34)</f>
        <v>696.93142857142868</v>
      </c>
      <c r="N31" s="283">
        <f>AVERAGE(Itron_CA_IOU_OutdoorLED!K21:K34)</f>
        <v>138.00194092042926</v>
      </c>
      <c r="O31" s="527">
        <f>AVERAGE(Itron_CA_IOU_OutdoorLED!L21:L34)</f>
        <v>544.3485714285714</v>
      </c>
      <c r="P31" s="527">
        <f>AVERAGE(Itron_CA_IOU_OutdoorLED!M21:M34)</f>
        <v>1379.2819409204292</v>
      </c>
      <c r="Q31" s="528">
        <f>AVERAGE(Itron_CA_IOU_OutdoorLED!N21:N34)</f>
        <v>878.38313616060157</v>
      </c>
    </row>
    <row r="32" spans="1:17" ht="36" x14ac:dyDescent="0.3">
      <c r="A32" s="648"/>
      <c r="B32" s="646"/>
      <c r="C32" s="210" t="s">
        <v>585</v>
      </c>
      <c r="D32" s="213">
        <v>550</v>
      </c>
      <c r="E32" s="213">
        <v>100</v>
      </c>
      <c r="F32" s="296" t="s">
        <v>586</v>
      </c>
      <c r="G32" s="302">
        <f>[4]AllOutdoor_Analysis!$J$9</f>
        <v>145.27000000000001</v>
      </c>
      <c r="H32" s="303">
        <f>[4]AllOutdoor_Analysis!$K$9</f>
        <v>856.35</v>
      </c>
      <c r="I32" s="281"/>
      <c r="J32" s="265"/>
      <c r="K32" s="266"/>
      <c r="L32" s="284"/>
      <c r="M32" s="285"/>
      <c r="N32" s="285"/>
      <c r="O32" s="527"/>
      <c r="P32" s="527"/>
      <c r="Q32" s="528"/>
    </row>
    <row r="33" spans="1:17" ht="54" x14ac:dyDescent="0.3">
      <c r="A33" s="648"/>
      <c r="B33" s="646"/>
      <c r="C33" s="210" t="s">
        <v>587</v>
      </c>
      <c r="D33" s="213">
        <v>700</v>
      </c>
      <c r="E33" s="213">
        <v>100</v>
      </c>
      <c r="F33" s="296" t="s">
        <v>588</v>
      </c>
      <c r="G33" s="302">
        <f>[4]AllOutdoor_Analysis!$L$10</f>
        <v>234.2</v>
      </c>
      <c r="H33" s="303">
        <f>[4]AllOutdoor_Analysis!$M$10</f>
        <v>1298</v>
      </c>
      <c r="I33" s="281"/>
      <c r="J33" s="265"/>
      <c r="K33" s="266"/>
      <c r="L33" s="284"/>
      <c r="M33" s="285"/>
      <c r="N33" s="285"/>
      <c r="O33" s="527"/>
      <c r="P33" s="527"/>
      <c r="Q33" s="528"/>
    </row>
    <row r="34" spans="1:17" ht="18.600000000000001" thickBot="1" x14ac:dyDescent="0.35">
      <c r="A34" s="649"/>
      <c r="B34" s="643"/>
      <c r="C34" s="215" t="s">
        <v>600</v>
      </c>
      <c r="D34" s="214">
        <v>35</v>
      </c>
      <c r="E34" s="214">
        <v>90</v>
      </c>
      <c r="F34" s="297" t="s">
        <v>572</v>
      </c>
      <c r="G34" s="304">
        <f>[4]AllOutdoor_Analysis!$D$14</f>
        <v>10.53</v>
      </c>
      <c r="H34" s="305">
        <f>[4]AllOutdoor_Analysis!$E$14</f>
        <v>505.9</v>
      </c>
      <c r="I34" s="286"/>
      <c r="J34" s="267"/>
      <c r="K34" s="268"/>
      <c r="L34" s="287"/>
      <c r="M34" s="288"/>
      <c r="N34" s="288"/>
      <c r="O34" s="529"/>
      <c r="P34" s="529"/>
      <c r="Q34" s="530"/>
    </row>
    <row r="35" spans="1:17" ht="18" x14ac:dyDescent="0.3">
      <c r="A35" s="644"/>
      <c r="B35" s="642" t="s">
        <v>618</v>
      </c>
      <c r="C35" s="211" t="s">
        <v>605</v>
      </c>
      <c r="D35" s="212">
        <v>10</v>
      </c>
      <c r="E35" s="212">
        <v>75</v>
      </c>
      <c r="F35" s="295" t="s">
        <v>592</v>
      </c>
      <c r="G35" s="306"/>
      <c r="H35" s="307"/>
      <c r="I35" s="278"/>
      <c r="J35" s="263"/>
      <c r="K35" s="264"/>
      <c r="L35" s="289"/>
      <c r="M35" s="290"/>
      <c r="N35" s="290"/>
      <c r="O35" s="525"/>
      <c r="P35" s="525"/>
      <c r="Q35" s="526"/>
    </row>
    <row r="36" spans="1:17" ht="36.6" thickBot="1" x14ac:dyDescent="0.35">
      <c r="A36" s="645"/>
      <c r="B36" s="643"/>
      <c r="C36" s="215" t="s">
        <v>606</v>
      </c>
      <c r="D36" s="214">
        <v>100</v>
      </c>
      <c r="E36" s="214">
        <v>105</v>
      </c>
      <c r="F36" s="297" t="s">
        <v>607</v>
      </c>
      <c r="G36" s="304"/>
      <c r="H36" s="305"/>
      <c r="I36" s="286"/>
      <c r="J36" s="267"/>
      <c r="K36" s="268"/>
      <c r="L36" s="287"/>
      <c r="M36" s="288"/>
      <c r="N36" s="288"/>
      <c r="O36" s="529"/>
      <c r="P36" s="529"/>
      <c r="Q36" s="530"/>
    </row>
    <row r="37" spans="1:17" x14ac:dyDescent="0.3">
      <c r="A37" s="96"/>
      <c r="F37"/>
    </row>
    <row r="38" spans="1:17" x14ac:dyDescent="0.3">
      <c r="A38" s="96"/>
      <c r="F38"/>
    </row>
    <row r="39" spans="1:17" x14ac:dyDescent="0.3">
      <c r="A39" s="96"/>
      <c r="F39"/>
    </row>
    <row r="40" spans="1:17" x14ac:dyDescent="0.3">
      <c r="A40" s="103"/>
      <c r="B40" s="103" t="s">
        <v>2</v>
      </c>
      <c r="F40"/>
    </row>
    <row r="41" spans="1:17" x14ac:dyDescent="0.3">
      <c r="A41" s="96"/>
      <c r="F41"/>
    </row>
    <row r="42" spans="1:17" x14ac:dyDescent="0.3">
      <c r="A42" s="96"/>
      <c r="F42"/>
    </row>
    <row r="43" spans="1:17" x14ac:dyDescent="0.3">
      <c r="A43" s="96"/>
      <c r="F43"/>
    </row>
    <row r="44" spans="1:17" x14ac:dyDescent="0.3">
      <c r="A44" s="96"/>
      <c r="F44"/>
    </row>
    <row r="45" spans="1:17" x14ac:dyDescent="0.3">
      <c r="A45" s="96"/>
      <c r="F45"/>
    </row>
    <row r="46" spans="1:17" x14ac:dyDescent="0.3">
      <c r="A46" s="96"/>
      <c r="F46"/>
    </row>
    <row r="47" spans="1:17" x14ac:dyDescent="0.3">
      <c r="A47" s="96"/>
      <c r="F47"/>
    </row>
    <row r="48" spans="1:17" x14ac:dyDescent="0.3">
      <c r="A48" s="96"/>
    </row>
    <row r="49" spans="1:1" x14ac:dyDescent="0.3">
      <c r="A49" s="96"/>
    </row>
    <row r="50" spans="1:1" x14ac:dyDescent="0.3">
      <c r="A50" s="96"/>
    </row>
    <row r="51" spans="1:1" x14ac:dyDescent="0.3">
      <c r="A51" s="96"/>
    </row>
    <row r="52" spans="1:1" x14ac:dyDescent="0.3">
      <c r="A52" s="96"/>
    </row>
    <row r="53" spans="1:1" x14ac:dyDescent="0.3">
      <c r="A53" s="96"/>
    </row>
    <row r="54" spans="1:1" x14ac:dyDescent="0.3">
      <c r="A54" s="96"/>
    </row>
    <row r="55" spans="1:1" x14ac:dyDescent="0.3">
      <c r="A55" s="96"/>
    </row>
    <row r="56" spans="1:1" x14ac:dyDescent="0.3">
      <c r="A56" s="96"/>
    </row>
  </sheetData>
  <mergeCells count="15">
    <mergeCell ref="A35:A36"/>
    <mergeCell ref="B35:B36"/>
    <mergeCell ref="B29:B34"/>
    <mergeCell ref="B3:B14"/>
    <mergeCell ref="B17:B22"/>
    <mergeCell ref="B23:B28"/>
    <mergeCell ref="A17:A22"/>
    <mergeCell ref="A23:A28"/>
    <mergeCell ref="A29:A34"/>
    <mergeCell ref="L1:Q1"/>
    <mergeCell ref="A3:A14"/>
    <mergeCell ref="A15:A16"/>
    <mergeCell ref="B1:F1"/>
    <mergeCell ref="G1:K1"/>
    <mergeCell ref="B15:B16"/>
  </mergeCells>
  <hyperlinks>
    <hyperlink ref="B40" location="TRM_MCS_measures!A1" display="Return To TRM_MCS_Measures"/>
  </hyperlink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8080"/>
  </sheetPr>
  <dimension ref="A1:AH112"/>
  <sheetViews>
    <sheetView zoomScale="55" zoomScaleNormal="55" workbookViewId="0">
      <selection activeCell="A3" sqref="A3"/>
    </sheetView>
  </sheetViews>
  <sheetFormatPr defaultColWidth="9.109375" defaultRowHeight="14.4" x14ac:dyDescent="0.3"/>
  <cols>
    <col min="1" max="1" width="17.6640625" style="43" customWidth="1"/>
    <col min="2" max="2" width="66.109375" style="43" customWidth="1"/>
    <col min="3" max="3" width="50.6640625" style="43" customWidth="1"/>
    <col min="4" max="4" width="16.88671875" style="43" customWidth="1"/>
    <col min="5" max="5" width="15.6640625" style="43" customWidth="1"/>
    <col min="6" max="6" width="16.88671875" style="43" customWidth="1"/>
    <col min="7" max="7" width="17.5546875" style="43" customWidth="1"/>
    <col min="8" max="15" width="17.44140625" style="43" customWidth="1"/>
    <col min="16" max="16" width="19" style="43" customWidth="1"/>
    <col min="17" max="17" width="12" style="43" customWidth="1"/>
    <col min="18" max="18" width="16.6640625" style="43" customWidth="1"/>
    <col min="19" max="22" width="16.33203125" style="43" customWidth="1"/>
    <col min="23" max="23" width="14.109375" style="43" customWidth="1"/>
    <col min="24" max="24" width="13.33203125" style="42" customWidth="1"/>
    <col min="25" max="25" width="15.6640625" style="42" customWidth="1"/>
    <col min="26" max="26" width="13.44140625" style="42" customWidth="1"/>
    <col min="27" max="28" width="14" style="42" customWidth="1"/>
    <col min="29" max="16384" width="9.109375" style="42"/>
  </cols>
  <sheetData>
    <row r="1" spans="1:34" ht="28.8" x14ac:dyDescent="0.55000000000000004">
      <c r="A1" s="485" t="s">
        <v>987</v>
      </c>
      <c r="B1" s="189"/>
      <c r="C1" s="190"/>
      <c r="D1" s="668" t="s">
        <v>899</v>
      </c>
      <c r="E1" s="669"/>
      <c r="F1" s="669"/>
      <c r="G1" s="669"/>
      <c r="H1" s="669"/>
      <c r="I1" s="670"/>
      <c r="J1" s="671" t="s">
        <v>898</v>
      </c>
      <c r="K1" s="672"/>
      <c r="L1" s="672"/>
      <c r="M1" s="672"/>
      <c r="N1" s="673"/>
      <c r="O1" s="671" t="s">
        <v>915</v>
      </c>
      <c r="P1" s="672"/>
      <c r="Q1" s="672"/>
      <c r="R1" s="672"/>
      <c r="S1" s="672"/>
      <c r="T1" s="672"/>
      <c r="U1" s="672"/>
      <c r="V1" s="673"/>
      <c r="AC1" s="160"/>
      <c r="AE1" s="180"/>
      <c r="AF1" s="181"/>
      <c r="AG1" s="182"/>
      <c r="AH1" s="104"/>
    </row>
    <row r="2" spans="1:34" ht="108" x14ac:dyDescent="0.35">
      <c r="A2" s="175" t="s">
        <v>1019</v>
      </c>
      <c r="B2" s="175" t="s">
        <v>170</v>
      </c>
      <c r="C2" s="175" t="s">
        <v>29</v>
      </c>
      <c r="D2" s="173" t="s">
        <v>919</v>
      </c>
      <c r="E2" s="173" t="s">
        <v>902</v>
      </c>
      <c r="F2" s="173" t="s">
        <v>920</v>
      </c>
      <c r="G2" s="173" t="s">
        <v>904</v>
      </c>
      <c r="H2" s="173" t="s">
        <v>905</v>
      </c>
      <c r="I2" s="173" t="s">
        <v>906</v>
      </c>
      <c r="J2" s="208" t="s">
        <v>172</v>
      </c>
      <c r="K2" s="144" t="s">
        <v>902</v>
      </c>
      <c r="L2" s="143" t="s">
        <v>1029</v>
      </c>
      <c r="M2" s="143" t="s">
        <v>904</v>
      </c>
      <c r="N2" s="168" t="s">
        <v>905</v>
      </c>
      <c r="O2" s="168" t="s">
        <v>907</v>
      </c>
      <c r="P2" s="168" t="s">
        <v>910</v>
      </c>
      <c r="Q2" s="168" t="s">
        <v>911</v>
      </c>
      <c r="R2" s="209" t="s">
        <v>908</v>
      </c>
      <c r="S2" s="209" t="s">
        <v>909</v>
      </c>
      <c r="T2" s="209" t="s">
        <v>917</v>
      </c>
      <c r="U2" s="209" t="s">
        <v>912</v>
      </c>
      <c r="V2" s="144" t="s">
        <v>906</v>
      </c>
      <c r="AC2" s="161"/>
      <c r="AE2" s="180"/>
      <c r="AF2" s="181"/>
      <c r="AG2" s="182"/>
      <c r="AH2" s="104"/>
    </row>
    <row r="3" spans="1:34" ht="54" x14ac:dyDescent="0.35">
      <c r="A3" s="176" t="s">
        <v>332</v>
      </c>
      <c r="B3" s="205" t="s">
        <v>333</v>
      </c>
      <c r="C3" s="205" t="s">
        <v>334</v>
      </c>
      <c r="D3" s="174">
        <f>J3*Inflation!$D$4</f>
        <v>35.379679999999993</v>
      </c>
      <c r="E3" s="174">
        <f>K3*Inflation!$D$4</f>
        <v>15.84545</v>
      </c>
      <c r="F3" s="174">
        <f>L3*Inflation!$D$4</f>
        <v>20.333893551414164</v>
      </c>
      <c r="G3" s="174">
        <f>M3*Inflation!$D$4</f>
        <v>19.534229999999997</v>
      </c>
      <c r="H3" s="174">
        <f>N3*Inflation!$D$4</f>
        <v>55.713573551414157</v>
      </c>
      <c r="I3" s="174">
        <f>V3*Inflation!$D$4</f>
        <v>34.419275594031085</v>
      </c>
      <c r="J3" s="139">
        <f t="shared" ref="J3:J8" si="0">C37</f>
        <v>34.72</v>
      </c>
      <c r="K3" s="139">
        <f t="shared" ref="K3:K8" si="1">$B$30</f>
        <v>15.55</v>
      </c>
      <c r="L3" s="11">
        <f>D65*'Labor Adjustment'!$B$10</f>
        <v>19.954753239856885</v>
      </c>
      <c r="M3" s="11">
        <f>J3-K3</f>
        <v>19.169999999999998</v>
      </c>
      <c r="N3" s="139">
        <f>J3+L3</f>
        <v>54.674753239856884</v>
      </c>
      <c r="O3" s="158">
        <v>0.05</v>
      </c>
      <c r="P3" s="159">
        <v>14</v>
      </c>
      <c r="Q3" s="159">
        <f>P3/3</f>
        <v>4.666666666666667</v>
      </c>
      <c r="R3" s="139">
        <f>((1+O3)^Q3-1)/(O3*(1+O3)^Q3)</f>
        <v>4.0725371786470017</v>
      </c>
      <c r="S3" s="139">
        <f>((1+O3)^P3-1)/(O3*(1+O3)^P3)</f>
        <v>9.8986409400896225</v>
      </c>
      <c r="T3" s="139">
        <f>R3/S3</f>
        <v>0.41142387154919158</v>
      </c>
      <c r="U3" s="139">
        <f>(K3+L3)*T3</f>
        <v>14.607503036340621</v>
      </c>
      <c r="V3" s="139">
        <f>U3+M3</f>
        <v>33.777503036340619</v>
      </c>
      <c r="AC3" s="162"/>
      <c r="AE3" s="180"/>
      <c r="AF3" s="181"/>
      <c r="AG3" s="182"/>
      <c r="AH3" s="104"/>
    </row>
    <row r="4" spans="1:34" ht="54.6" thickBot="1" x14ac:dyDescent="0.4">
      <c r="A4" s="176" t="s">
        <v>335</v>
      </c>
      <c r="B4" s="205" t="s">
        <v>336</v>
      </c>
      <c r="C4" s="205" t="s">
        <v>334</v>
      </c>
      <c r="D4" s="174">
        <f>J4*Inflation!$D$4</f>
        <v>32.006789999999995</v>
      </c>
      <c r="E4" s="174">
        <f>K4*Inflation!$D$4</f>
        <v>15.84545</v>
      </c>
      <c r="F4" s="174">
        <f>L4*Inflation!$D$4</f>
        <v>20.333893551414164</v>
      </c>
      <c r="G4" s="174">
        <f>M4*Inflation!$D$4</f>
        <v>16.161339999999999</v>
      </c>
      <c r="H4" s="174">
        <f>N4*Inflation!$D$4</f>
        <v>52.340683551414159</v>
      </c>
      <c r="I4" s="174">
        <f>V4*Inflation!$D$4</f>
        <v>31.04638559403109</v>
      </c>
      <c r="J4" s="139">
        <f t="shared" si="0"/>
        <v>31.41</v>
      </c>
      <c r="K4" s="139">
        <f t="shared" si="1"/>
        <v>15.55</v>
      </c>
      <c r="L4" s="11">
        <f>D66*'Labor Adjustment'!$B$10</f>
        <v>19.954753239856885</v>
      </c>
      <c r="M4" s="11">
        <f t="shared" ref="M4:M8" si="2">J4-K4</f>
        <v>15.86</v>
      </c>
      <c r="N4" s="139">
        <f t="shared" ref="N4:N8" si="3">J4+L4</f>
        <v>51.364753239856881</v>
      </c>
      <c r="O4" s="158">
        <v>0.05</v>
      </c>
      <c r="P4" s="159">
        <v>14</v>
      </c>
      <c r="Q4" s="159">
        <f t="shared" ref="Q4:Q15" si="4">P4/3</f>
        <v>4.666666666666667</v>
      </c>
      <c r="R4" s="139">
        <f t="shared" ref="R4:R8" si="5">((1+O4)^Q4-1)/(O4*(1+O4)^Q4)</f>
        <v>4.0725371786470017</v>
      </c>
      <c r="S4" s="139">
        <f t="shared" ref="S4:S8" si="6">((1+O4)^P4-1)/(O4*(1+O4)^P4)</f>
        <v>9.8986409400896225</v>
      </c>
      <c r="T4" s="139">
        <f t="shared" ref="T4:T8" si="7">R4/S4</f>
        <v>0.41142387154919158</v>
      </c>
      <c r="U4" s="139">
        <f t="shared" ref="U4:U15" si="8">(K4+L4)*T4</f>
        <v>14.607503036340621</v>
      </c>
      <c r="V4" s="139">
        <f t="shared" ref="V4:V8" si="9">U4+M4</f>
        <v>30.46750303634062</v>
      </c>
      <c r="AC4" s="162"/>
      <c r="AE4" s="183"/>
      <c r="AF4" s="184"/>
      <c r="AG4" s="185"/>
      <c r="AH4" s="104"/>
    </row>
    <row r="5" spans="1:34" ht="54" x14ac:dyDescent="0.35">
      <c r="A5" s="176" t="s">
        <v>337</v>
      </c>
      <c r="B5" s="205" t="s">
        <v>338</v>
      </c>
      <c r="C5" s="205" t="s">
        <v>334</v>
      </c>
      <c r="D5" s="174">
        <f>J5*Inflation!$D$4</f>
        <v>33.728899999999996</v>
      </c>
      <c r="E5" s="174">
        <f>K5*Inflation!$D$4</f>
        <v>15.84545</v>
      </c>
      <c r="F5" s="174">
        <f>L5*Inflation!$D$4</f>
        <v>20.333893551414164</v>
      </c>
      <c r="G5" s="174">
        <f>M5*Inflation!$D$4</f>
        <v>17.88345</v>
      </c>
      <c r="H5" s="174">
        <f>N5*Inflation!$D$4</f>
        <v>54.06279355141416</v>
      </c>
      <c r="I5" s="174">
        <f>V5*Inflation!$D$4</f>
        <v>32.768495594031087</v>
      </c>
      <c r="J5" s="139">
        <f t="shared" si="0"/>
        <v>33.1</v>
      </c>
      <c r="K5" s="139">
        <f t="shared" si="1"/>
        <v>15.55</v>
      </c>
      <c r="L5" s="11">
        <f>D67*'Labor Adjustment'!$B$10</f>
        <v>19.954753239856885</v>
      </c>
      <c r="M5" s="11">
        <f t="shared" si="2"/>
        <v>17.55</v>
      </c>
      <c r="N5" s="139">
        <f t="shared" si="3"/>
        <v>53.054753239856886</v>
      </c>
      <c r="O5" s="158">
        <v>0.05</v>
      </c>
      <c r="P5" s="159">
        <v>14</v>
      </c>
      <c r="Q5" s="159">
        <f t="shared" si="4"/>
        <v>4.666666666666667</v>
      </c>
      <c r="R5" s="139">
        <f t="shared" si="5"/>
        <v>4.0725371786470017</v>
      </c>
      <c r="S5" s="139">
        <f t="shared" si="6"/>
        <v>9.8986409400896225</v>
      </c>
      <c r="T5" s="139">
        <f t="shared" si="7"/>
        <v>0.41142387154919158</v>
      </c>
      <c r="U5" s="139">
        <f t="shared" si="8"/>
        <v>14.607503036340621</v>
      </c>
      <c r="V5" s="139">
        <f t="shared" si="9"/>
        <v>32.157503036340621</v>
      </c>
      <c r="AC5" s="162"/>
    </row>
    <row r="6" spans="1:34" ht="54.6" thickBot="1" x14ac:dyDescent="0.4">
      <c r="A6" s="176" t="s">
        <v>339</v>
      </c>
      <c r="B6" s="205" t="s">
        <v>340</v>
      </c>
      <c r="C6" s="205" t="s">
        <v>334</v>
      </c>
      <c r="D6" s="174">
        <f>J6*Inflation!$D$4</f>
        <v>38.192119999999996</v>
      </c>
      <c r="E6" s="174">
        <f>K6*Inflation!$D$4</f>
        <v>15.84545</v>
      </c>
      <c r="F6" s="174">
        <f>L6*Inflation!$D$4</f>
        <v>20.333893551414164</v>
      </c>
      <c r="G6" s="174">
        <f>M6*Inflation!$D$4</f>
        <v>22.346669999999992</v>
      </c>
      <c r="H6" s="174">
        <f>N6*Inflation!$D$4</f>
        <v>58.52601355141416</v>
      </c>
      <c r="I6" s="174">
        <f>V6*Inflation!$D$4</f>
        <v>37.231715594031087</v>
      </c>
      <c r="J6" s="139">
        <f t="shared" si="0"/>
        <v>37.479999999999997</v>
      </c>
      <c r="K6" s="139">
        <f t="shared" si="1"/>
        <v>15.55</v>
      </c>
      <c r="L6" s="11">
        <f>D68*'Labor Adjustment'!$B$10</f>
        <v>19.954753239856885</v>
      </c>
      <c r="M6" s="11">
        <f t="shared" si="2"/>
        <v>21.929999999999996</v>
      </c>
      <c r="N6" s="139">
        <f t="shared" si="3"/>
        <v>57.434753239856882</v>
      </c>
      <c r="O6" s="158">
        <v>0.05</v>
      </c>
      <c r="P6" s="159">
        <v>14</v>
      </c>
      <c r="Q6" s="159">
        <f t="shared" si="4"/>
        <v>4.666666666666667</v>
      </c>
      <c r="R6" s="139">
        <f t="shared" si="5"/>
        <v>4.0725371786470017</v>
      </c>
      <c r="S6" s="139">
        <f t="shared" si="6"/>
        <v>9.8986409400896225</v>
      </c>
      <c r="T6" s="139">
        <f t="shared" si="7"/>
        <v>0.41142387154919158</v>
      </c>
      <c r="U6" s="139">
        <f t="shared" si="8"/>
        <v>14.607503036340621</v>
      </c>
      <c r="V6" s="139">
        <f t="shared" si="9"/>
        <v>36.537503036340617</v>
      </c>
      <c r="AC6" s="162"/>
    </row>
    <row r="7" spans="1:34" ht="54" x14ac:dyDescent="0.35">
      <c r="A7" s="176" t="s">
        <v>341</v>
      </c>
      <c r="B7" s="205" t="s">
        <v>342</v>
      </c>
      <c r="C7" s="205" t="s">
        <v>334</v>
      </c>
      <c r="D7" s="174">
        <f>J7*Inflation!$D$4</f>
        <v>35.369489999999999</v>
      </c>
      <c r="E7" s="174">
        <f>K7*Inflation!$D$4</f>
        <v>15.84545</v>
      </c>
      <c r="F7" s="174">
        <f>L7*Inflation!$D$4</f>
        <v>20.333893551414164</v>
      </c>
      <c r="G7" s="174">
        <f>M7*Inflation!$D$4</f>
        <v>19.524039999999999</v>
      </c>
      <c r="H7" s="174">
        <f>N7*Inflation!$D$4</f>
        <v>55.703383551414163</v>
      </c>
      <c r="I7" s="174">
        <f>V7*Inflation!$D$4</f>
        <v>34.40908559403109</v>
      </c>
      <c r="J7" s="139">
        <f t="shared" si="0"/>
        <v>34.71</v>
      </c>
      <c r="K7" s="139">
        <f t="shared" si="1"/>
        <v>15.55</v>
      </c>
      <c r="L7" s="11">
        <f>D69*'Labor Adjustment'!$B$10</f>
        <v>19.954753239856885</v>
      </c>
      <c r="M7" s="11">
        <f t="shared" si="2"/>
        <v>19.16</v>
      </c>
      <c r="N7" s="139">
        <f t="shared" si="3"/>
        <v>54.664753239856886</v>
      </c>
      <c r="O7" s="158">
        <v>0.05</v>
      </c>
      <c r="P7" s="159">
        <v>14</v>
      </c>
      <c r="Q7" s="159">
        <f t="shared" si="4"/>
        <v>4.666666666666667</v>
      </c>
      <c r="R7" s="139">
        <f t="shared" si="5"/>
        <v>4.0725371786470017</v>
      </c>
      <c r="S7" s="139">
        <f t="shared" si="6"/>
        <v>9.8986409400896225</v>
      </c>
      <c r="T7" s="139">
        <f t="shared" si="7"/>
        <v>0.41142387154919158</v>
      </c>
      <c r="U7" s="139">
        <f t="shared" si="8"/>
        <v>14.607503036340621</v>
      </c>
      <c r="V7" s="139">
        <f t="shared" si="9"/>
        <v>33.767503036340621</v>
      </c>
      <c r="AC7" s="162"/>
      <c r="AE7" s="186"/>
      <c r="AF7" s="187"/>
      <c r="AG7" s="145"/>
      <c r="AH7" s="145"/>
    </row>
    <row r="8" spans="1:34" ht="54" x14ac:dyDescent="0.35">
      <c r="A8" s="176" t="s">
        <v>343</v>
      </c>
      <c r="B8" s="205" t="s">
        <v>344</v>
      </c>
      <c r="C8" s="205" t="s">
        <v>334</v>
      </c>
      <c r="D8" s="174">
        <f>J8*Inflation!$D$4</f>
        <v>39.679859999999991</v>
      </c>
      <c r="E8" s="174">
        <f>K8*Inflation!$D$4</f>
        <v>15.84545</v>
      </c>
      <c r="F8" s="174">
        <f>L8*Inflation!$D$4</f>
        <v>20.333893551414164</v>
      </c>
      <c r="G8" s="174">
        <f>M8*Inflation!$D$4</f>
        <v>23.834409999999995</v>
      </c>
      <c r="H8" s="174">
        <f>N8*Inflation!$D$4</f>
        <v>60.013753551414155</v>
      </c>
      <c r="I8" s="174">
        <f>V8*Inflation!$D$4</f>
        <v>38.719455594031089</v>
      </c>
      <c r="J8" s="139">
        <f t="shared" si="0"/>
        <v>38.94</v>
      </c>
      <c r="K8" s="139">
        <f t="shared" si="1"/>
        <v>15.55</v>
      </c>
      <c r="L8" s="11">
        <f>D70*'Labor Adjustment'!$B$10</f>
        <v>19.954753239856885</v>
      </c>
      <c r="M8" s="11">
        <f t="shared" si="2"/>
        <v>23.389999999999997</v>
      </c>
      <c r="N8" s="139">
        <f t="shared" si="3"/>
        <v>58.894753239856882</v>
      </c>
      <c r="O8" s="158">
        <v>0.05</v>
      </c>
      <c r="P8" s="159">
        <v>14</v>
      </c>
      <c r="Q8" s="159">
        <f t="shared" si="4"/>
        <v>4.666666666666667</v>
      </c>
      <c r="R8" s="139">
        <f t="shared" si="5"/>
        <v>4.0725371786470017</v>
      </c>
      <c r="S8" s="139">
        <f t="shared" si="6"/>
        <v>9.8986409400896225</v>
      </c>
      <c r="T8" s="139">
        <f t="shared" si="7"/>
        <v>0.41142387154919158</v>
      </c>
      <c r="U8" s="139">
        <f t="shared" si="8"/>
        <v>14.607503036340621</v>
      </c>
      <c r="V8" s="139">
        <f t="shared" si="9"/>
        <v>37.997503036340618</v>
      </c>
      <c r="AC8" s="162"/>
      <c r="AE8" s="151"/>
      <c r="AF8" s="152"/>
      <c r="AG8" s="146"/>
      <c r="AH8" s="146"/>
    </row>
    <row r="9" spans="1:34" ht="28.8" x14ac:dyDescent="0.35">
      <c r="A9" s="486" t="s">
        <v>913</v>
      </c>
      <c r="B9" s="487"/>
      <c r="C9" s="488"/>
      <c r="D9" s="489">
        <f t="shared" ref="D9" si="10">AVERAGE(D3:D8)</f>
        <v>35.726139999999994</v>
      </c>
      <c r="E9" s="489">
        <f t="shared" ref="E9" si="11">AVERAGE(E3:E8)</f>
        <v>15.84545</v>
      </c>
      <c r="F9" s="489">
        <f t="shared" ref="F9" si="12">AVERAGE(F3:F8)</f>
        <v>20.333893551414164</v>
      </c>
      <c r="G9" s="548">
        <f t="shared" ref="G9" si="13">AVERAGE(G3:G8)</f>
        <v>19.880689999999998</v>
      </c>
      <c r="H9" s="548">
        <f t="shared" ref="H9" si="14">AVERAGE(H3:H8)</f>
        <v>56.060033551414158</v>
      </c>
      <c r="I9" s="548">
        <f t="shared" ref="I9" si="15">AVERAGE(I3:I8)</f>
        <v>34.765735594031092</v>
      </c>
      <c r="J9" s="139"/>
      <c r="K9" s="139"/>
      <c r="L9" s="139"/>
      <c r="M9" s="139"/>
      <c r="N9" s="139"/>
      <c r="O9" s="158"/>
      <c r="P9" s="158"/>
      <c r="Q9" s="158"/>
      <c r="R9" s="158"/>
      <c r="S9" s="158"/>
      <c r="T9" s="42"/>
      <c r="U9" s="140"/>
      <c r="AC9" s="163"/>
      <c r="AE9" s="151"/>
      <c r="AF9" s="152"/>
      <c r="AG9" s="146"/>
      <c r="AH9" s="146"/>
    </row>
    <row r="10" spans="1:34" ht="54" x14ac:dyDescent="0.35">
      <c r="A10" s="176" t="s">
        <v>345</v>
      </c>
      <c r="B10" s="205" t="s">
        <v>346</v>
      </c>
      <c r="C10" s="205" t="s">
        <v>334</v>
      </c>
      <c r="D10" s="174">
        <f>J10*Inflation!$D$4</f>
        <v>35.715949999999992</v>
      </c>
      <c r="E10" s="174">
        <f>K10*Inflation!$D$4</f>
        <v>15.84545</v>
      </c>
      <c r="F10" s="174">
        <f>L10*Inflation!$D$4</f>
        <v>20.333893551414164</v>
      </c>
      <c r="G10" s="174">
        <f>M10*Inflation!$D$4</f>
        <v>19.870499999999996</v>
      </c>
      <c r="H10" s="174">
        <f>N10*Inflation!$D$4</f>
        <v>56.049843551414156</v>
      </c>
      <c r="I10" s="174">
        <f>V10*Inflation!$D$4</f>
        <v>34.755545594031084</v>
      </c>
      <c r="J10" s="139">
        <f t="shared" ref="J10:J15" si="16">C43</f>
        <v>35.049999999999997</v>
      </c>
      <c r="K10" s="139">
        <f t="shared" ref="K10:K15" si="17">$B$30</f>
        <v>15.55</v>
      </c>
      <c r="L10" s="11">
        <f>D71*'Labor Adjustment'!$B$10</f>
        <v>19.954753239856885</v>
      </c>
      <c r="M10" s="11">
        <f t="shared" ref="M10:M15" si="18">J10-K10</f>
        <v>19.499999999999996</v>
      </c>
      <c r="N10" s="139">
        <f>J10+L10</f>
        <v>55.004753239856882</v>
      </c>
      <c r="O10" s="158">
        <v>0.05</v>
      </c>
      <c r="P10" s="159">
        <v>14</v>
      </c>
      <c r="Q10" s="159">
        <f t="shared" si="4"/>
        <v>4.666666666666667</v>
      </c>
      <c r="R10" s="139">
        <f>((1+O10)^Q10-1)/(O10*(1+O10)^Q10)</f>
        <v>4.0725371786470017</v>
      </c>
      <c r="S10" s="139">
        <f t="shared" ref="S10:S15" si="19">((1+O10)^P10-1)/(O10*(1+O10)^P10)</f>
        <v>9.8986409400896225</v>
      </c>
      <c r="T10" s="139">
        <f t="shared" ref="T10:T15" si="20">R10/S10</f>
        <v>0.41142387154919158</v>
      </c>
      <c r="U10" s="139">
        <f>(K10+L10)*T10</f>
        <v>14.607503036340621</v>
      </c>
      <c r="V10" s="139">
        <f>U10+M10</f>
        <v>34.107503036340617</v>
      </c>
      <c r="AC10" s="162"/>
      <c r="AE10" s="151"/>
      <c r="AF10" s="153"/>
      <c r="AG10" s="147"/>
      <c r="AH10" s="147"/>
    </row>
    <row r="11" spans="1:34" ht="54" x14ac:dyDescent="0.35">
      <c r="A11" s="176" t="s">
        <v>347</v>
      </c>
      <c r="B11" s="205" t="s">
        <v>348</v>
      </c>
      <c r="C11" s="205" t="s">
        <v>334</v>
      </c>
      <c r="D11" s="174">
        <f>J11*Inflation!$D$4</f>
        <v>31.874319999999997</v>
      </c>
      <c r="E11" s="174">
        <f>K11*Inflation!$D$4</f>
        <v>15.84545</v>
      </c>
      <c r="F11" s="174">
        <f>L11*Inflation!$D$4</f>
        <v>20.333893551414164</v>
      </c>
      <c r="G11" s="174">
        <f>M11*Inflation!$D$4</f>
        <v>16.028869999999998</v>
      </c>
      <c r="H11" s="174">
        <f>N11*Inflation!$D$4</f>
        <v>52.208213551414161</v>
      </c>
      <c r="I11" s="174">
        <f>V11*Inflation!$D$4</f>
        <v>30.913915594031089</v>
      </c>
      <c r="J11" s="139">
        <f t="shared" si="16"/>
        <v>31.28</v>
      </c>
      <c r="K11" s="139">
        <f t="shared" si="17"/>
        <v>15.55</v>
      </c>
      <c r="L11" s="11">
        <f>D72*'Labor Adjustment'!$B$10</f>
        <v>19.954753239856885</v>
      </c>
      <c r="M11" s="11">
        <f t="shared" si="18"/>
        <v>15.73</v>
      </c>
      <c r="N11" s="139">
        <f t="shared" ref="N11:N15" si="21">J11+L11</f>
        <v>51.234753239856886</v>
      </c>
      <c r="O11" s="158">
        <v>0.05</v>
      </c>
      <c r="P11" s="159">
        <v>14</v>
      </c>
      <c r="Q11" s="159">
        <f t="shared" si="4"/>
        <v>4.666666666666667</v>
      </c>
      <c r="R11" s="139">
        <f t="shared" ref="R11:R15" si="22">((1+O11)^Q11-1)/(O11*(1+O11)^Q11)</f>
        <v>4.0725371786470017</v>
      </c>
      <c r="S11" s="139">
        <f t="shared" si="19"/>
        <v>9.8986409400896225</v>
      </c>
      <c r="T11" s="139">
        <f t="shared" si="20"/>
        <v>0.41142387154919158</v>
      </c>
      <c r="U11" s="139">
        <f t="shared" si="8"/>
        <v>14.607503036340621</v>
      </c>
      <c r="V11" s="139">
        <f t="shared" ref="V11:V15" si="23">U11+M11</f>
        <v>30.337503036340621</v>
      </c>
      <c r="AC11" s="162"/>
      <c r="AE11" s="151"/>
      <c r="AF11" s="154"/>
      <c r="AG11" s="148"/>
      <c r="AH11" s="148"/>
    </row>
    <row r="12" spans="1:34" ht="54" x14ac:dyDescent="0.35">
      <c r="A12" s="176" t="s">
        <v>349</v>
      </c>
      <c r="B12" s="205" t="s">
        <v>350</v>
      </c>
      <c r="C12" s="205" t="s">
        <v>334</v>
      </c>
      <c r="D12" s="174">
        <f>J12*Inflation!$D$4</f>
        <v>39.404730000000001</v>
      </c>
      <c r="E12" s="174">
        <f>K12*Inflation!$D$4</f>
        <v>15.84545</v>
      </c>
      <c r="F12" s="174">
        <f>L12*Inflation!$D$4</f>
        <v>20.333893551414164</v>
      </c>
      <c r="G12" s="174">
        <f>M12*Inflation!$D$4</f>
        <v>23.559279999999998</v>
      </c>
      <c r="H12" s="174">
        <f>N12*Inflation!$D$4</f>
        <v>59.738623551414165</v>
      </c>
      <c r="I12" s="174">
        <f>V12*Inflation!$D$4</f>
        <v>38.444325594031092</v>
      </c>
      <c r="J12" s="204">
        <f>C45</f>
        <v>38.67</v>
      </c>
      <c r="K12" s="139">
        <f t="shared" si="17"/>
        <v>15.55</v>
      </c>
      <c r="L12" s="11">
        <f>D73*'Labor Adjustment'!$B$10</f>
        <v>19.954753239856885</v>
      </c>
      <c r="M12" s="11">
        <f t="shared" si="18"/>
        <v>23.12</v>
      </c>
      <c r="N12" s="139">
        <f t="shared" si="21"/>
        <v>58.624753239856886</v>
      </c>
      <c r="O12" s="158">
        <v>0.05</v>
      </c>
      <c r="P12" s="159">
        <v>14</v>
      </c>
      <c r="Q12" s="159">
        <f t="shared" si="4"/>
        <v>4.666666666666667</v>
      </c>
      <c r="R12" s="139">
        <f t="shared" si="22"/>
        <v>4.0725371786470017</v>
      </c>
      <c r="S12" s="139">
        <f t="shared" si="19"/>
        <v>9.8986409400896225</v>
      </c>
      <c r="T12" s="139">
        <f t="shared" si="20"/>
        <v>0.41142387154919158</v>
      </c>
      <c r="U12" s="139">
        <f t="shared" si="8"/>
        <v>14.607503036340621</v>
      </c>
      <c r="V12" s="139">
        <f t="shared" si="23"/>
        <v>37.727503036340622</v>
      </c>
      <c r="AC12" s="162"/>
      <c r="AE12" s="151"/>
      <c r="AF12" s="155"/>
      <c r="AG12" s="149"/>
      <c r="AH12" s="149"/>
    </row>
    <row r="13" spans="1:34" ht="54" x14ac:dyDescent="0.35">
      <c r="A13" s="176" t="s">
        <v>351</v>
      </c>
      <c r="B13" s="205" t="s">
        <v>352</v>
      </c>
      <c r="C13" s="205" t="s">
        <v>334</v>
      </c>
      <c r="D13" s="174">
        <f>J13*Inflation!$D$4</f>
        <v>38.192119999999996</v>
      </c>
      <c r="E13" s="174">
        <f>K13*Inflation!$D$4</f>
        <v>15.84545</v>
      </c>
      <c r="F13" s="174">
        <f>L13*Inflation!$D$4</f>
        <v>20.333893551414164</v>
      </c>
      <c r="G13" s="174">
        <f>M13*Inflation!$D$4</f>
        <v>22.346669999999992</v>
      </c>
      <c r="H13" s="174">
        <f>N13*Inflation!$D$4</f>
        <v>58.52601355141416</v>
      </c>
      <c r="I13" s="174">
        <f>V13*Inflation!$D$4</f>
        <v>37.231715594031087</v>
      </c>
      <c r="J13" s="139">
        <f t="shared" si="16"/>
        <v>37.479999999999997</v>
      </c>
      <c r="K13" s="139">
        <f t="shared" si="17"/>
        <v>15.55</v>
      </c>
      <c r="L13" s="11">
        <f>D74*'Labor Adjustment'!$B$10</f>
        <v>19.954753239856885</v>
      </c>
      <c r="M13" s="11">
        <f t="shared" si="18"/>
        <v>21.929999999999996</v>
      </c>
      <c r="N13" s="139">
        <f t="shared" si="21"/>
        <v>57.434753239856882</v>
      </c>
      <c r="O13" s="158">
        <v>0.05</v>
      </c>
      <c r="P13" s="159">
        <v>14</v>
      </c>
      <c r="Q13" s="159">
        <f t="shared" si="4"/>
        <v>4.666666666666667</v>
      </c>
      <c r="R13" s="139">
        <f t="shared" si="22"/>
        <v>4.0725371786470017</v>
      </c>
      <c r="S13" s="139">
        <f t="shared" si="19"/>
        <v>9.8986409400896225</v>
      </c>
      <c r="T13" s="139">
        <f t="shared" si="20"/>
        <v>0.41142387154919158</v>
      </c>
      <c r="U13" s="139">
        <f t="shared" si="8"/>
        <v>14.607503036340621</v>
      </c>
      <c r="V13" s="139">
        <f t="shared" si="23"/>
        <v>36.537503036340617</v>
      </c>
      <c r="AC13" s="162"/>
      <c r="AE13" s="156"/>
      <c r="AF13" s="157"/>
      <c r="AG13" s="150"/>
      <c r="AH13" s="150"/>
    </row>
    <row r="14" spans="1:34" ht="54" x14ac:dyDescent="0.35">
      <c r="A14" s="176" t="s">
        <v>353</v>
      </c>
      <c r="B14" s="205" t="s">
        <v>354</v>
      </c>
      <c r="C14" s="205" t="s">
        <v>334</v>
      </c>
      <c r="D14" s="174">
        <f>J14*Inflation!$D$4</f>
        <v>41.605769999999993</v>
      </c>
      <c r="E14" s="174">
        <f>K14*Inflation!$D$4</f>
        <v>15.84545</v>
      </c>
      <c r="F14" s="174">
        <f>L14*Inflation!$D$4</f>
        <v>20.333893551414164</v>
      </c>
      <c r="G14" s="174">
        <f>M14*Inflation!$D$4</f>
        <v>25.760319999999997</v>
      </c>
      <c r="H14" s="174">
        <f>N14*Inflation!$D$4</f>
        <v>61.939663551414156</v>
      </c>
      <c r="I14" s="174">
        <f>V14*Inflation!$D$4</f>
        <v>40.645365594031084</v>
      </c>
      <c r="J14" s="139">
        <f t="shared" si="16"/>
        <v>40.83</v>
      </c>
      <c r="K14" s="139">
        <f t="shared" si="17"/>
        <v>15.55</v>
      </c>
      <c r="L14" s="11">
        <f>D75*'Labor Adjustment'!$B$10</f>
        <v>19.954753239856885</v>
      </c>
      <c r="M14" s="11">
        <f t="shared" si="18"/>
        <v>25.279999999999998</v>
      </c>
      <c r="N14" s="139">
        <f t="shared" si="21"/>
        <v>60.784753239856883</v>
      </c>
      <c r="O14" s="158">
        <v>0.05</v>
      </c>
      <c r="P14" s="159">
        <v>14</v>
      </c>
      <c r="Q14" s="159">
        <f t="shared" si="4"/>
        <v>4.666666666666667</v>
      </c>
      <c r="R14" s="139">
        <f t="shared" si="22"/>
        <v>4.0725371786470017</v>
      </c>
      <c r="S14" s="139">
        <f t="shared" si="19"/>
        <v>9.8986409400896225</v>
      </c>
      <c r="T14" s="139">
        <f t="shared" si="20"/>
        <v>0.41142387154919158</v>
      </c>
      <c r="U14" s="139">
        <f t="shared" si="8"/>
        <v>14.607503036340621</v>
      </c>
      <c r="V14" s="139">
        <f t="shared" si="23"/>
        <v>39.887503036340618</v>
      </c>
      <c r="AC14" s="162"/>
      <c r="AE14" s="156"/>
      <c r="AF14" s="157"/>
      <c r="AG14" s="150"/>
      <c r="AH14" s="150"/>
    </row>
    <row r="15" spans="1:34" ht="54" x14ac:dyDescent="0.35">
      <c r="A15" s="176" t="s">
        <v>355</v>
      </c>
      <c r="B15" s="205" t="s">
        <v>356</v>
      </c>
      <c r="C15" s="205" t="s">
        <v>334</v>
      </c>
      <c r="D15" s="174">
        <f>J15*Inflation!$D$4</f>
        <v>39.679859999999991</v>
      </c>
      <c r="E15" s="174">
        <f>K15*Inflation!$D$4</f>
        <v>15.84545</v>
      </c>
      <c r="F15" s="174">
        <f>L15*Inflation!$D$4</f>
        <v>20.333893551414164</v>
      </c>
      <c r="G15" s="174">
        <f>M15*Inflation!$D$4</f>
        <v>23.834409999999995</v>
      </c>
      <c r="H15" s="174">
        <f>N15*Inflation!$D$4</f>
        <v>60.013753551414155</v>
      </c>
      <c r="I15" s="174">
        <f>V15*Inflation!$D$4</f>
        <v>38.719455594031089</v>
      </c>
      <c r="J15" s="139">
        <f t="shared" si="16"/>
        <v>38.94</v>
      </c>
      <c r="K15" s="139">
        <f t="shared" si="17"/>
        <v>15.55</v>
      </c>
      <c r="L15" s="11">
        <f>D76*'Labor Adjustment'!$B$10</f>
        <v>19.954753239856885</v>
      </c>
      <c r="M15" s="11">
        <f t="shared" si="18"/>
        <v>23.389999999999997</v>
      </c>
      <c r="N15" s="139">
        <f t="shared" si="21"/>
        <v>58.894753239856882</v>
      </c>
      <c r="O15" s="158">
        <v>0.05</v>
      </c>
      <c r="P15" s="159">
        <v>14</v>
      </c>
      <c r="Q15" s="159">
        <f t="shared" si="4"/>
        <v>4.666666666666667</v>
      </c>
      <c r="R15" s="139">
        <f t="shared" si="22"/>
        <v>4.0725371786470017</v>
      </c>
      <c r="S15" s="139">
        <f t="shared" si="19"/>
        <v>9.8986409400896225</v>
      </c>
      <c r="T15" s="139">
        <f t="shared" si="20"/>
        <v>0.41142387154919158</v>
      </c>
      <c r="U15" s="139">
        <f t="shared" si="8"/>
        <v>14.607503036340621</v>
      </c>
      <c r="V15" s="139">
        <f t="shared" si="23"/>
        <v>37.997503036340618</v>
      </c>
      <c r="AC15" s="162"/>
      <c r="AE15" s="151"/>
      <c r="AF15" s="155"/>
      <c r="AG15" s="149"/>
      <c r="AH15" s="149"/>
    </row>
    <row r="16" spans="1:34" ht="28.95" customHeight="1" x14ac:dyDescent="0.35">
      <c r="A16" s="486" t="s">
        <v>914</v>
      </c>
      <c r="B16" s="489"/>
      <c r="C16" s="489"/>
      <c r="D16" s="489">
        <f>AVERAGE(D10:D15)</f>
        <v>37.745458333333332</v>
      </c>
      <c r="E16" s="489">
        <f t="shared" ref="E16" si="24">AVERAGE(E10:E15)</f>
        <v>15.84545</v>
      </c>
      <c r="F16" s="489">
        <f t="shared" ref="F16" si="25">AVERAGE(F10:F15)</f>
        <v>20.333893551414164</v>
      </c>
      <c r="G16" s="548">
        <f t="shared" ref="G16" si="26">AVERAGE(G10:G15)</f>
        <v>21.900008333333329</v>
      </c>
      <c r="H16" s="548">
        <f t="shared" ref="H16" si="27">AVERAGE(H10:H15)</f>
        <v>58.079351884747489</v>
      </c>
      <c r="I16" s="548">
        <f t="shared" ref="I16" si="28">AVERAGE(I10:I15)</f>
        <v>36.785053927364423</v>
      </c>
      <c r="J16" s="167"/>
      <c r="K16" s="167"/>
      <c r="L16" s="167"/>
      <c r="M16" s="8"/>
      <c r="N16" s="166"/>
      <c r="O16" s="166"/>
      <c r="P16" s="166"/>
      <c r="Q16" s="166"/>
      <c r="R16" s="166"/>
      <c r="S16" s="166"/>
      <c r="T16" s="166"/>
      <c r="U16" s="166"/>
      <c r="AC16" s="164"/>
      <c r="AE16" s="151"/>
      <c r="AF16" s="152"/>
      <c r="AG16" s="146"/>
      <c r="AH16" s="146"/>
    </row>
    <row r="17" spans="1:29" ht="32.4" customHeight="1" x14ac:dyDescent="0.3">
      <c r="A17" s="490" t="s">
        <v>916</v>
      </c>
      <c r="B17" s="491"/>
      <c r="C17" s="491"/>
      <c r="D17" s="188"/>
      <c r="E17" s="188"/>
      <c r="F17" s="188"/>
      <c r="G17" s="188"/>
      <c r="H17" s="188"/>
      <c r="I17" s="188"/>
      <c r="J17" s="177"/>
      <c r="K17" s="177"/>
      <c r="L17" s="177"/>
      <c r="M17" s="178"/>
      <c r="N17" s="178"/>
      <c r="O17" s="178"/>
      <c r="P17" s="178"/>
      <c r="Q17" s="178"/>
      <c r="R17" s="178"/>
      <c r="S17" s="178"/>
      <c r="T17" s="178"/>
      <c r="U17" s="178"/>
      <c r="V17" s="178"/>
      <c r="W17" s="179"/>
      <c r="X17" s="179"/>
      <c r="Y17" s="179"/>
      <c r="Z17" s="165"/>
      <c r="AA17" s="165"/>
      <c r="AB17" s="165"/>
      <c r="AC17" s="165"/>
    </row>
    <row r="18" spans="1:29" ht="30" customHeight="1" x14ac:dyDescent="0.45">
      <c r="A18" s="492" t="s">
        <v>918</v>
      </c>
      <c r="B18" s="493"/>
      <c r="C18" s="493"/>
      <c r="D18" s="188"/>
      <c r="E18" s="188"/>
      <c r="F18" s="188"/>
      <c r="G18" s="188"/>
      <c r="H18" s="188"/>
      <c r="I18" s="188"/>
    </row>
    <row r="19" spans="1:29" x14ac:dyDescent="0.3">
      <c r="A19" s="42"/>
      <c r="B19" s="42"/>
      <c r="C19" s="42"/>
      <c r="D19" s="42"/>
      <c r="E19" s="42"/>
      <c r="F19" s="42"/>
      <c r="G19" s="42"/>
      <c r="H19" s="42"/>
      <c r="I19" s="42"/>
      <c r="J19" s="42"/>
      <c r="K19" s="42"/>
      <c r="L19" s="42"/>
      <c r="M19" s="42"/>
      <c r="N19" s="42"/>
      <c r="O19" s="42"/>
      <c r="P19" s="42"/>
      <c r="Q19" s="42"/>
      <c r="R19" s="42"/>
      <c r="S19" s="42"/>
      <c r="T19" s="42"/>
      <c r="U19" s="42"/>
      <c r="V19" s="42"/>
      <c r="W19" s="42"/>
    </row>
    <row r="20" spans="1:29" x14ac:dyDescent="0.3">
      <c r="A20" s="3" t="s">
        <v>28</v>
      </c>
    </row>
    <row r="22" spans="1:29" ht="21" x14ac:dyDescent="0.4">
      <c r="A22" s="142" t="s">
        <v>900</v>
      </c>
      <c r="B22" s="141"/>
    </row>
    <row r="23" spans="1:29" ht="21" x14ac:dyDescent="0.3">
      <c r="A23" s="105" t="s">
        <v>862</v>
      </c>
      <c r="B23"/>
      <c r="C23"/>
      <c r="D23"/>
      <c r="E23"/>
    </row>
    <row r="24" spans="1:29" x14ac:dyDescent="0.3">
      <c r="A24" s="127" t="s">
        <v>863</v>
      </c>
      <c r="B24"/>
      <c r="C24"/>
      <c r="D24"/>
      <c r="E24"/>
    </row>
    <row r="25" spans="1:29" ht="17.399999999999999" x14ac:dyDescent="0.3">
      <c r="A25" s="128" t="s">
        <v>864</v>
      </c>
      <c r="B25"/>
      <c r="C25"/>
      <c r="D25"/>
      <c r="E25"/>
    </row>
    <row r="26" spans="1:29" x14ac:dyDescent="0.3">
      <c r="A26" s="127" t="s">
        <v>865</v>
      </c>
      <c r="B26"/>
      <c r="C26"/>
      <c r="D26"/>
      <c r="E26"/>
    </row>
    <row r="27" spans="1:29" x14ac:dyDescent="0.3">
      <c r="A27" s="127"/>
      <c r="B27"/>
      <c r="C27"/>
      <c r="D27"/>
      <c r="E27"/>
    </row>
    <row r="28" spans="1:29" ht="15" thickBot="1" x14ac:dyDescent="0.35">
      <c r="A28" s="126" t="s">
        <v>866</v>
      </c>
      <c r="B28"/>
      <c r="C28"/>
      <c r="D28"/>
      <c r="E28"/>
    </row>
    <row r="29" spans="1:29" ht="27" thickBot="1" x14ac:dyDescent="0.35">
      <c r="A29" s="129" t="s">
        <v>170</v>
      </c>
      <c r="B29" s="106" t="s">
        <v>867</v>
      </c>
      <c r="C29"/>
      <c r="D29"/>
      <c r="E29"/>
    </row>
    <row r="30" spans="1:29" ht="57.6" thickBot="1" x14ac:dyDescent="0.35">
      <c r="A30" s="130" t="s">
        <v>868</v>
      </c>
      <c r="B30" s="107">
        <v>15.55</v>
      </c>
      <c r="C30"/>
      <c r="D30"/>
      <c r="E30"/>
    </row>
    <row r="31" spans="1:29" x14ac:dyDescent="0.3">
      <c r="A31" s="127"/>
      <c r="B31"/>
      <c r="C31"/>
      <c r="D31"/>
      <c r="E31"/>
    </row>
    <row r="32" spans="1:29" ht="17.399999999999999" x14ac:dyDescent="0.3">
      <c r="A32" s="128" t="s">
        <v>869</v>
      </c>
      <c r="B32"/>
      <c r="C32"/>
      <c r="D32"/>
      <c r="E32"/>
    </row>
    <row r="33" spans="1:5" x14ac:dyDescent="0.3">
      <c r="A33" s="127" t="s">
        <v>870</v>
      </c>
      <c r="B33"/>
      <c r="C33"/>
      <c r="D33"/>
      <c r="E33"/>
    </row>
    <row r="34" spans="1:5" x14ac:dyDescent="0.3">
      <c r="A34" s="127"/>
      <c r="B34"/>
      <c r="C34"/>
      <c r="D34"/>
      <c r="E34"/>
    </row>
    <row r="35" spans="1:5" ht="15" thickBot="1" x14ac:dyDescent="0.35">
      <c r="A35" s="126" t="s">
        <v>871</v>
      </c>
      <c r="B35"/>
      <c r="C35"/>
      <c r="D35"/>
      <c r="E35"/>
    </row>
    <row r="36" spans="1:5" ht="15" thickBot="1" x14ac:dyDescent="0.35">
      <c r="A36" s="129" t="s">
        <v>169</v>
      </c>
      <c r="B36" s="106" t="s">
        <v>170</v>
      </c>
      <c r="C36" s="106" t="s">
        <v>872</v>
      </c>
      <c r="D36"/>
      <c r="E36"/>
    </row>
    <row r="37" spans="1:5" ht="27" thickBot="1" x14ac:dyDescent="0.35">
      <c r="A37" s="131" t="s">
        <v>332</v>
      </c>
      <c r="B37" s="108" t="s">
        <v>333</v>
      </c>
      <c r="C37" s="109">
        <v>34.72</v>
      </c>
      <c r="D37"/>
      <c r="E37"/>
    </row>
    <row r="38" spans="1:5" ht="27" thickBot="1" x14ac:dyDescent="0.35">
      <c r="A38" s="131" t="s">
        <v>335</v>
      </c>
      <c r="B38" s="108" t="s">
        <v>336</v>
      </c>
      <c r="C38" s="109">
        <v>31.41</v>
      </c>
      <c r="D38"/>
      <c r="E38"/>
    </row>
    <row r="39" spans="1:5" ht="27" thickBot="1" x14ac:dyDescent="0.35">
      <c r="A39" s="131" t="s">
        <v>337</v>
      </c>
      <c r="B39" s="108" t="s">
        <v>338</v>
      </c>
      <c r="C39" s="109">
        <v>33.1</v>
      </c>
      <c r="D39"/>
      <c r="E39"/>
    </row>
    <row r="40" spans="1:5" ht="27" thickBot="1" x14ac:dyDescent="0.35">
      <c r="A40" s="131" t="s">
        <v>339</v>
      </c>
      <c r="B40" s="108" t="s">
        <v>340</v>
      </c>
      <c r="C40" s="109">
        <v>37.479999999999997</v>
      </c>
      <c r="D40"/>
      <c r="E40"/>
    </row>
    <row r="41" spans="1:5" ht="27" thickBot="1" x14ac:dyDescent="0.35">
      <c r="A41" s="131" t="s">
        <v>341</v>
      </c>
      <c r="B41" s="108" t="s">
        <v>342</v>
      </c>
      <c r="C41" s="109">
        <v>34.71</v>
      </c>
      <c r="D41"/>
      <c r="E41"/>
    </row>
    <row r="42" spans="1:5" ht="27" thickBot="1" x14ac:dyDescent="0.35">
      <c r="A42" s="131" t="s">
        <v>343</v>
      </c>
      <c r="B42" s="108" t="s">
        <v>344</v>
      </c>
      <c r="C42" s="109">
        <v>38.94</v>
      </c>
      <c r="D42"/>
      <c r="E42"/>
    </row>
    <row r="43" spans="1:5" ht="27" thickBot="1" x14ac:dyDescent="0.35">
      <c r="A43" s="131" t="s">
        <v>345</v>
      </c>
      <c r="B43" s="108" t="s">
        <v>346</v>
      </c>
      <c r="C43" s="109">
        <v>35.049999999999997</v>
      </c>
      <c r="D43"/>
      <c r="E43"/>
    </row>
    <row r="44" spans="1:5" ht="27" thickBot="1" x14ac:dyDescent="0.35">
      <c r="A44" s="131" t="s">
        <v>347</v>
      </c>
      <c r="B44" s="108" t="s">
        <v>348</v>
      </c>
      <c r="C44" s="109">
        <v>31.28</v>
      </c>
      <c r="D44"/>
      <c r="E44"/>
    </row>
    <row r="45" spans="1:5" ht="27" thickBot="1" x14ac:dyDescent="0.35">
      <c r="A45" s="131" t="s">
        <v>349</v>
      </c>
      <c r="B45" s="108" t="s">
        <v>350</v>
      </c>
      <c r="C45" s="109">
        <v>38.67</v>
      </c>
      <c r="D45"/>
      <c r="E45"/>
    </row>
    <row r="46" spans="1:5" ht="15" customHeight="1" thickBot="1" x14ac:dyDescent="0.35">
      <c r="A46" s="131" t="s">
        <v>351</v>
      </c>
      <c r="B46" s="108" t="s">
        <v>352</v>
      </c>
      <c r="C46" s="109">
        <v>37.479999999999997</v>
      </c>
      <c r="D46"/>
      <c r="E46"/>
    </row>
    <row r="47" spans="1:5" ht="15" customHeight="1" thickBot="1" x14ac:dyDescent="0.35">
      <c r="A47" s="131" t="s">
        <v>353</v>
      </c>
      <c r="B47" s="108" t="s">
        <v>354</v>
      </c>
      <c r="C47" s="109">
        <v>40.83</v>
      </c>
      <c r="D47"/>
      <c r="E47"/>
    </row>
    <row r="48" spans="1:5" ht="15" customHeight="1" thickBot="1" x14ac:dyDescent="0.35">
      <c r="A48" s="131" t="s">
        <v>355</v>
      </c>
      <c r="B48" s="108" t="s">
        <v>356</v>
      </c>
      <c r="C48" s="109">
        <v>38.94</v>
      </c>
      <c r="D48"/>
      <c r="E48"/>
    </row>
    <row r="49" spans="1:5" ht="15" customHeight="1" thickBot="1" x14ac:dyDescent="0.35">
      <c r="A49" s="128" t="s">
        <v>873</v>
      </c>
      <c r="B49"/>
      <c r="C49"/>
      <c r="D49"/>
      <c r="E49"/>
    </row>
    <row r="50" spans="1:5" ht="15" thickTop="1" x14ac:dyDescent="0.3">
      <c r="A50" s="674" t="s">
        <v>874</v>
      </c>
      <c r="B50" s="110" t="s">
        <v>875</v>
      </c>
      <c r="C50" s="112" t="s">
        <v>875</v>
      </c>
      <c r="D50" s="676" t="s">
        <v>878</v>
      </c>
      <c r="E50"/>
    </row>
    <row r="51" spans="1:5" ht="15" thickBot="1" x14ac:dyDescent="0.35">
      <c r="A51" s="675"/>
      <c r="B51" s="111" t="s">
        <v>876</v>
      </c>
      <c r="C51" s="113" t="s">
        <v>877</v>
      </c>
      <c r="D51" s="677"/>
      <c r="E51"/>
    </row>
    <row r="52" spans="1:5" ht="15" thickTop="1" x14ac:dyDescent="0.3">
      <c r="A52" s="650" t="s">
        <v>879</v>
      </c>
      <c r="B52" s="114" t="s">
        <v>880</v>
      </c>
      <c r="C52" s="116" t="s">
        <v>882</v>
      </c>
      <c r="D52" s="116" t="s">
        <v>880</v>
      </c>
      <c r="E52"/>
    </row>
    <row r="53" spans="1:5" ht="15" thickBot="1" x14ac:dyDescent="0.35">
      <c r="A53" s="651"/>
      <c r="B53" s="115" t="s">
        <v>881</v>
      </c>
      <c r="C53" s="117" t="s">
        <v>883</v>
      </c>
      <c r="D53" s="117" t="s">
        <v>884</v>
      </c>
      <c r="E53"/>
    </row>
    <row r="54" spans="1:5" ht="39" customHeight="1" thickTop="1" x14ac:dyDescent="0.3">
      <c r="A54" s="652" t="s">
        <v>175</v>
      </c>
      <c r="B54" s="118" t="s">
        <v>880</v>
      </c>
      <c r="C54" s="654" t="s">
        <v>3</v>
      </c>
      <c r="D54" s="118" t="s">
        <v>880</v>
      </c>
      <c r="E54"/>
    </row>
    <row r="55" spans="1:5" ht="39" customHeight="1" thickBot="1" x14ac:dyDescent="0.35">
      <c r="A55" s="653"/>
      <c r="B55" s="119" t="s">
        <v>884</v>
      </c>
      <c r="C55" s="655"/>
      <c r="D55" s="119" t="s">
        <v>884</v>
      </c>
      <c r="E55"/>
    </row>
    <row r="56" spans="1:5" ht="39" customHeight="1" thickTop="1" x14ac:dyDescent="0.3">
      <c r="A56" s="658" t="s">
        <v>885</v>
      </c>
      <c r="B56" s="120" t="s">
        <v>880</v>
      </c>
      <c r="C56" s="660" t="s">
        <v>3</v>
      </c>
      <c r="D56" s="120" t="s">
        <v>880</v>
      </c>
      <c r="E56"/>
    </row>
    <row r="57" spans="1:5" ht="39" customHeight="1" thickBot="1" x14ac:dyDescent="0.35">
      <c r="A57" s="659"/>
      <c r="B57" s="121" t="s">
        <v>884</v>
      </c>
      <c r="C57" s="661"/>
      <c r="D57" s="121" t="s">
        <v>884</v>
      </c>
      <c r="E57"/>
    </row>
    <row r="58" spans="1:5" ht="18" thickTop="1" x14ac:dyDescent="0.3">
      <c r="A58" s="128" t="s">
        <v>886</v>
      </c>
      <c r="B58"/>
      <c r="C58"/>
      <c r="D58"/>
      <c r="E58"/>
    </row>
    <row r="59" spans="1:5" ht="15" customHeight="1" x14ac:dyDescent="0.3">
      <c r="A59" s="127" t="s">
        <v>887</v>
      </c>
      <c r="B59"/>
      <c r="C59"/>
      <c r="D59"/>
      <c r="E59"/>
    </row>
    <row r="60" spans="1:5" x14ac:dyDescent="0.3">
      <c r="A60" s="127"/>
      <c r="B60"/>
      <c r="C60"/>
      <c r="D60"/>
      <c r="E60"/>
    </row>
    <row r="61" spans="1:5" x14ac:dyDescent="0.3">
      <c r="A61" s="127" t="s">
        <v>888</v>
      </c>
      <c r="B61"/>
      <c r="C61"/>
      <c r="D61"/>
      <c r="E61"/>
    </row>
    <row r="62" spans="1:5" ht="15" thickBot="1" x14ac:dyDescent="0.35">
      <c r="A62" s="127"/>
      <c r="B62"/>
      <c r="C62"/>
      <c r="D62"/>
      <c r="E62"/>
    </row>
    <row r="63" spans="1:5" x14ac:dyDescent="0.3">
      <c r="A63" s="662" t="s">
        <v>169</v>
      </c>
      <c r="B63" s="664" t="s">
        <v>170</v>
      </c>
      <c r="C63" s="666" t="s">
        <v>872</v>
      </c>
      <c r="D63" s="656" t="s">
        <v>889</v>
      </c>
      <c r="E63" s="122" t="s">
        <v>890</v>
      </c>
    </row>
    <row r="64" spans="1:5" ht="15" thickBot="1" x14ac:dyDescent="0.35">
      <c r="A64" s="663"/>
      <c r="B64" s="665"/>
      <c r="C64" s="667"/>
      <c r="D64" s="657"/>
      <c r="E64" s="123" t="s">
        <v>172</v>
      </c>
    </row>
    <row r="65" spans="1:6" ht="31.8" thickBot="1" x14ac:dyDescent="0.35">
      <c r="A65" s="132" t="s">
        <v>332</v>
      </c>
      <c r="B65" s="125" t="s">
        <v>333</v>
      </c>
      <c r="C65" s="109">
        <v>34.72</v>
      </c>
      <c r="D65" s="107">
        <v>27.06</v>
      </c>
      <c r="E65" s="109">
        <v>61.78</v>
      </c>
      <c r="F65" s="206"/>
    </row>
    <row r="66" spans="1:6" ht="31.8" thickBot="1" x14ac:dyDescent="0.35">
      <c r="A66" s="132" t="s">
        <v>335</v>
      </c>
      <c r="B66" s="125" t="s">
        <v>336</v>
      </c>
      <c r="C66" s="109">
        <v>31.41</v>
      </c>
      <c r="D66" s="107">
        <v>27.06</v>
      </c>
      <c r="E66" s="109">
        <v>58.47</v>
      </c>
      <c r="F66" s="206"/>
    </row>
    <row r="67" spans="1:6" ht="31.8" thickBot="1" x14ac:dyDescent="0.35">
      <c r="A67" s="132" t="s">
        <v>337</v>
      </c>
      <c r="B67" s="125" t="s">
        <v>338</v>
      </c>
      <c r="C67" s="109">
        <v>33.1</v>
      </c>
      <c r="D67" s="107">
        <v>27.06</v>
      </c>
      <c r="E67" s="109">
        <v>60.16</v>
      </c>
      <c r="F67" s="206"/>
    </row>
    <row r="68" spans="1:6" ht="31.8" thickBot="1" x14ac:dyDescent="0.35">
      <c r="A68" s="132" t="s">
        <v>339</v>
      </c>
      <c r="B68" s="125" t="s">
        <v>340</v>
      </c>
      <c r="C68" s="109">
        <v>37.479999999999997</v>
      </c>
      <c r="D68" s="107">
        <v>27.06</v>
      </c>
      <c r="E68" s="109">
        <v>64.540000000000006</v>
      </c>
      <c r="F68" s="206"/>
    </row>
    <row r="69" spans="1:6" ht="31.8" thickBot="1" x14ac:dyDescent="0.35">
      <c r="A69" s="132" t="s">
        <v>341</v>
      </c>
      <c r="B69" s="125" t="s">
        <v>342</v>
      </c>
      <c r="C69" s="109">
        <v>34.71</v>
      </c>
      <c r="D69" s="107">
        <v>27.06</v>
      </c>
      <c r="E69" s="109">
        <v>61.77</v>
      </c>
      <c r="F69" s="206"/>
    </row>
    <row r="70" spans="1:6" ht="31.8" thickBot="1" x14ac:dyDescent="0.35">
      <c r="A70" s="132" t="s">
        <v>343</v>
      </c>
      <c r="B70" s="125" t="s">
        <v>344</v>
      </c>
      <c r="C70" s="109">
        <v>38.94</v>
      </c>
      <c r="D70" s="107">
        <v>27.06</v>
      </c>
      <c r="E70" s="109">
        <v>66</v>
      </c>
      <c r="F70" s="206"/>
    </row>
    <row r="71" spans="1:6" ht="31.8" thickBot="1" x14ac:dyDescent="0.35">
      <c r="A71" s="132" t="s">
        <v>345</v>
      </c>
      <c r="B71" s="125" t="s">
        <v>346</v>
      </c>
      <c r="C71" s="109">
        <v>35.049999999999997</v>
      </c>
      <c r="D71" s="107">
        <v>27.06</v>
      </c>
      <c r="E71" s="109">
        <v>62.1</v>
      </c>
      <c r="F71" s="206"/>
    </row>
    <row r="72" spans="1:6" ht="31.8" thickBot="1" x14ac:dyDescent="0.35">
      <c r="A72" s="132" t="s">
        <v>347</v>
      </c>
      <c r="B72" s="125" t="s">
        <v>348</v>
      </c>
      <c r="C72" s="109">
        <v>31.28</v>
      </c>
      <c r="D72" s="107">
        <v>27.06</v>
      </c>
      <c r="E72" s="109">
        <v>58.34</v>
      </c>
      <c r="F72" s="206"/>
    </row>
    <row r="73" spans="1:6" ht="31.8" thickBot="1" x14ac:dyDescent="0.35">
      <c r="A73" s="132" t="s">
        <v>349</v>
      </c>
      <c r="B73" s="125" t="s">
        <v>350</v>
      </c>
      <c r="C73" s="109">
        <v>38.67</v>
      </c>
      <c r="D73" s="107">
        <v>27.06</v>
      </c>
      <c r="E73" s="109">
        <v>65.73</v>
      </c>
      <c r="F73" s="206"/>
    </row>
    <row r="74" spans="1:6" ht="31.8" thickBot="1" x14ac:dyDescent="0.35">
      <c r="A74" s="132" t="s">
        <v>351</v>
      </c>
      <c r="B74" s="125" t="s">
        <v>352</v>
      </c>
      <c r="C74" s="109">
        <v>37.479999999999997</v>
      </c>
      <c r="D74" s="107">
        <v>27.06</v>
      </c>
      <c r="E74" s="109">
        <v>64.540000000000006</v>
      </c>
      <c r="F74" s="206"/>
    </row>
    <row r="75" spans="1:6" ht="31.8" thickBot="1" x14ac:dyDescent="0.35">
      <c r="A75" s="132" t="s">
        <v>353</v>
      </c>
      <c r="B75" s="125" t="s">
        <v>354</v>
      </c>
      <c r="C75" s="109">
        <v>40.83</v>
      </c>
      <c r="D75" s="107">
        <v>27.06</v>
      </c>
      <c r="E75" s="109">
        <v>67.89</v>
      </c>
      <c r="F75" s="206"/>
    </row>
    <row r="76" spans="1:6" ht="31.8" thickBot="1" x14ac:dyDescent="0.35">
      <c r="A76" s="132" t="s">
        <v>355</v>
      </c>
      <c r="B76" s="125" t="s">
        <v>356</v>
      </c>
      <c r="C76" s="109">
        <v>38.94</v>
      </c>
      <c r="D76" s="107">
        <v>27.06</v>
      </c>
      <c r="E76" s="109">
        <v>66</v>
      </c>
      <c r="F76" s="206"/>
    </row>
    <row r="77" spans="1:6" x14ac:dyDescent="0.3">
      <c r="A77" s="126" t="s">
        <v>891</v>
      </c>
      <c r="B77"/>
      <c r="C77"/>
      <c r="D77"/>
      <c r="E77"/>
    </row>
    <row r="78" spans="1:6" ht="17.399999999999999" x14ac:dyDescent="0.3">
      <c r="A78" s="128"/>
      <c r="B78"/>
      <c r="C78"/>
      <c r="D78"/>
      <c r="E78"/>
    </row>
    <row r="79" spans="1:6" ht="17.399999999999999" x14ac:dyDescent="0.3">
      <c r="A79" s="128" t="s">
        <v>892</v>
      </c>
      <c r="B79"/>
      <c r="C79"/>
      <c r="D79"/>
      <c r="E79"/>
    </row>
    <row r="80" spans="1:6" x14ac:dyDescent="0.3">
      <c r="A80" s="127" t="s">
        <v>893</v>
      </c>
      <c r="B80"/>
      <c r="C80"/>
      <c r="D80"/>
      <c r="E80"/>
    </row>
    <row r="81" spans="1:5" x14ac:dyDescent="0.3">
      <c r="A81" s="127" t="s">
        <v>894</v>
      </c>
      <c r="B81"/>
      <c r="C81"/>
      <c r="D81"/>
      <c r="E81"/>
    </row>
    <row r="82" spans="1:5" x14ac:dyDescent="0.3">
      <c r="A82" s="126"/>
      <c r="B82"/>
      <c r="C82"/>
      <c r="D82"/>
      <c r="E82"/>
    </row>
    <row r="83" spans="1:5" ht="15" thickBot="1" x14ac:dyDescent="0.35">
      <c r="A83" s="126" t="s">
        <v>895</v>
      </c>
      <c r="B83"/>
      <c r="C83"/>
      <c r="D83"/>
      <c r="E83"/>
    </row>
    <row r="84" spans="1:5" ht="16.2" thickBot="1" x14ac:dyDescent="0.35">
      <c r="A84" s="133" t="s">
        <v>169</v>
      </c>
      <c r="B84" s="106" t="s">
        <v>170</v>
      </c>
      <c r="C84" s="106" t="s">
        <v>878</v>
      </c>
      <c r="D84"/>
      <c r="E84"/>
    </row>
    <row r="85" spans="1:5" ht="27" thickBot="1" x14ac:dyDescent="0.35">
      <c r="A85" s="132" t="s">
        <v>332</v>
      </c>
      <c r="B85" s="108" t="s">
        <v>333</v>
      </c>
      <c r="C85" s="109">
        <v>19.170000000000002</v>
      </c>
      <c r="D85"/>
      <c r="E85"/>
    </row>
    <row r="86" spans="1:5" ht="27" thickBot="1" x14ac:dyDescent="0.35">
      <c r="A86" s="124" t="s">
        <v>335</v>
      </c>
      <c r="B86" s="108" t="s">
        <v>336</v>
      </c>
      <c r="C86" s="109">
        <v>15.86</v>
      </c>
      <c r="D86"/>
      <c r="E86"/>
    </row>
    <row r="87" spans="1:5" ht="27" thickBot="1" x14ac:dyDescent="0.35">
      <c r="A87" s="132" t="s">
        <v>337</v>
      </c>
      <c r="B87" s="108" t="s">
        <v>338</v>
      </c>
      <c r="C87" s="109">
        <v>17.55</v>
      </c>
      <c r="D87"/>
      <c r="E87"/>
    </row>
    <row r="88" spans="1:5" ht="27" thickBot="1" x14ac:dyDescent="0.35">
      <c r="A88" s="132" t="s">
        <v>339</v>
      </c>
      <c r="B88" s="108" t="s">
        <v>340</v>
      </c>
      <c r="C88" s="109">
        <v>21.93</v>
      </c>
      <c r="D88"/>
      <c r="E88"/>
    </row>
    <row r="89" spans="1:5" ht="27" thickBot="1" x14ac:dyDescent="0.35">
      <c r="A89" s="132" t="s">
        <v>341</v>
      </c>
      <c r="B89" s="108" t="s">
        <v>342</v>
      </c>
      <c r="C89" s="109">
        <v>19.16</v>
      </c>
      <c r="D89"/>
      <c r="E89"/>
    </row>
    <row r="90" spans="1:5" ht="27" thickBot="1" x14ac:dyDescent="0.35">
      <c r="A90" s="132" t="s">
        <v>343</v>
      </c>
      <c r="B90" s="108" t="s">
        <v>344</v>
      </c>
      <c r="C90" s="109">
        <v>23.39</v>
      </c>
      <c r="D90"/>
      <c r="E90"/>
    </row>
    <row r="91" spans="1:5" ht="27" thickBot="1" x14ac:dyDescent="0.35">
      <c r="A91" s="132" t="s">
        <v>345</v>
      </c>
      <c r="B91" s="108" t="s">
        <v>346</v>
      </c>
      <c r="C91" s="109">
        <v>19.489999999999998</v>
      </c>
      <c r="D91"/>
      <c r="E91"/>
    </row>
    <row r="92" spans="1:5" ht="27" thickBot="1" x14ac:dyDescent="0.35">
      <c r="A92" s="132" t="s">
        <v>347</v>
      </c>
      <c r="B92" s="108" t="s">
        <v>348</v>
      </c>
      <c r="C92" s="109">
        <v>15.73</v>
      </c>
      <c r="D92"/>
      <c r="E92"/>
    </row>
    <row r="93" spans="1:5" ht="27" thickBot="1" x14ac:dyDescent="0.35">
      <c r="A93" s="132" t="s">
        <v>349</v>
      </c>
      <c r="B93" s="108" t="s">
        <v>350</v>
      </c>
      <c r="C93" s="109">
        <v>23.12</v>
      </c>
      <c r="D93"/>
      <c r="E93"/>
    </row>
    <row r="94" spans="1:5" ht="27" thickBot="1" x14ac:dyDescent="0.35">
      <c r="A94" s="132" t="s">
        <v>351</v>
      </c>
      <c r="B94" s="108" t="s">
        <v>352</v>
      </c>
      <c r="C94" s="109">
        <v>21.93</v>
      </c>
      <c r="D94"/>
      <c r="E94"/>
    </row>
    <row r="95" spans="1:5" ht="27" thickBot="1" x14ac:dyDescent="0.35">
      <c r="A95" s="132" t="s">
        <v>353</v>
      </c>
      <c r="B95" s="108" t="s">
        <v>354</v>
      </c>
      <c r="C95" s="109">
        <v>25.28</v>
      </c>
      <c r="D95"/>
      <c r="E95"/>
    </row>
    <row r="96" spans="1:5" ht="27" thickBot="1" x14ac:dyDescent="0.35">
      <c r="A96" s="132" t="s">
        <v>355</v>
      </c>
      <c r="B96" s="108" t="s">
        <v>356</v>
      </c>
      <c r="C96" s="109">
        <v>23.39</v>
      </c>
      <c r="D96"/>
      <c r="E96"/>
    </row>
    <row r="97" spans="1:5" x14ac:dyDescent="0.3">
      <c r="A97" s="134"/>
      <c r="B97"/>
      <c r="C97"/>
      <c r="D97"/>
      <c r="E97"/>
    </row>
    <row r="98" spans="1:5" x14ac:dyDescent="0.3">
      <c r="A98" s="134"/>
      <c r="B98"/>
      <c r="C98"/>
      <c r="D98"/>
      <c r="E98"/>
    </row>
    <row r="99" spans="1:5" ht="15.6" x14ac:dyDescent="0.3">
      <c r="A99" s="135" t="s">
        <v>896</v>
      </c>
      <c r="B99"/>
      <c r="C99"/>
      <c r="D99"/>
      <c r="E99"/>
    </row>
    <row r="100" spans="1:5" x14ac:dyDescent="0.3">
      <c r="A100" s="136"/>
    </row>
    <row r="101" spans="1:5" x14ac:dyDescent="0.3">
      <c r="A101" s="136"/>
    </row>
    <row r="102" spans="1:5" x14ac:dyDescent="0.3">
      <c r="A102" s="136"/>
    </row>
    <row r="103" spans="1:5" x14ac:dyDescent="0.3">
      <c r="A103" s="136"/>
    </row>
    <row r="104" spans="1:5" x14ac:dyDescent="0.3">
      <c r="A104" s="136"/>
    </row>
    <row r="105" spans="1:5" x14ac:dyDescent="0.3">
      <c r="A105" s="136"/>
    </row>
    <row r="106" spans="1:5" x14ac:dyDescent="0.3">
      <c r="A106" s="136"/>
    </row>
    <row r="107" spans="1:5" x14ac:dyDescent="0.3">
      <c r="A107" s="136"/>
    </row>
    <row r="108" spans="1:5" x14ac:dyDescent="0.3">
      <c r="A108" s="136"/>
    </row>
    <row r="109" spans="1:5" x14ac:dyDescent="0.3">
      <c r="A109" s="136"/>
    </row>
    <row r="110" spans="1:5" x14ac:dyDescent="0.3">
      <c r="A110" s="136"/>
    </row>
    <row r="111" spans="1:5" x14ac:dyDescent="0.3">
      <c r="A111" s="136"/>
    </row>
    <row r="112" spans="1:5" x14ac:dyDescent="0.3">
      <c r="A112" s="136"/>
    </row>
  </sheetData>
  <mergeCells count="14">
    <mergeCell ref="D1:I1"/>
    <mergeCell ref="J1:N1"/>
    <mergeCell ref="O1:V1"/>
    <mergeCell ref="A50:A51"/>
    <mergeCell ref="D50:D51"/>
    <mergeCell ref="A52:A53"/>
    <mergeCell ref="A54:A55"/>
    <mergeCell ref="C54:C55"/>
    <mergeCell ref="D63:D64"/>
    <mergeCell ref="A56:A57"/>
    <mergeCell ref="C56:C57"/>
    <mergeCell ref="A63:A64"/>
    <mergeCell ref="B63:B64"/>
    <mergeCell ref="C63:C64"/>
  </mergeCells>
  <hyperlinks>
    <hyperlink ref="A20" location="TRM_MCS_measures!A1" display="Return To TRM_MCS_Measures"/>
    <hyperlink ref="D63" location="_edn1" display="_edn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8080"/>
  </sheetPr>
  <dimension ref="A1:AK43"/>
  <sheetViews>
    <sheetView zoomScale="70" zoomScaleNormal="70" workbookViewId="0">
      <selection activeCell="I5" sqref="I5"/>
    </sheetView>
  </sheetViews>
  <sheetFormatPr defaultColWidth="9.109375" defaultRowHeight="13.8" x14ac:dyDescent="0.3"/>
  <cols>
    <col min="1" max="1" width="15.33203125" style="93" customWidth="1"/>
    <col min="2" max="2" width="14" style="93" customWidth="1"/>
    <col min="3" max="3" width="13.6640625" style="93" bestFit="1" customWidth="1"/>
    <col min="4" max="4" width="13.6640625" style="93" customWidth="1"/>
    <col min="5" max="5" width="16.109375" style="93" customWidth="1"/>
    <col min="6" max="6" width="15.88671875" style="93" customWidth="1"/>
    <col min="7" max="7" width="16" style="93" customWidth="1"/>
    <col min="8" max="8" width="17.33203125" style="93" customWidth="1"/>
    <col min="9" max="11" width="13.6640625" style="93" customWidth="1"/>
    <col min="12" max="12" width="17.88671875" style="93" customWidth="1"/>
    <col min="13" max="13" width="18.44140625" style="93" customWidth="1"/>
    <col min="14" max="14" width="16.33203125" style="93" customWidth="1"/>
    <col min="15" max="15" width="14.5546875" style="93" customWidth="1"/>
    <col min="16" max="16" width="18" style="93" customWidth="1"/>
    <col min="17" max="17" width="18.5546875" style="93" customWidth="1"/>
    <col min="18" max="18" width="15.33203125" style="93" customWidth="1"/>
    <col min="19" max="19" width="14.88671875" style="93" customWidth="1"/>
    <col min="20" max="20" width="17.33203125" style="93" customWidth="1"/>
    <col min="21" max="21" width="17.88671875" style="93" customWidth="1"/>
    <col min="22" max="22" width="21.33203125" style="93" customWidth="1"/>
    <col min="23" max="23" width="11.5546875" style="93" customWidth="1"/>
    <col min="24" max="24" width="9.109375" style="93"/>
    <col min="25" max="25" width="18.109375" style="93" customWidth="1"/>
    <col min="26" max="26" width="21.6640625" style="93" customWidth="1"/>
    <col min="27" max="27" width="21.5546875" style="93" customWidth="1"/>
    <col min="28" max="28" width="23.33203125" style="93" customWidth="1"/>
    <col min="29" max="29" width="19.6640625" style="93" customWidth="1"/>
    <col min="30" max="30" width="22" style="93" customWidth="1"/>
    <col min="31" max="16384" width="9.109375" style="93"/>
  </cols>
  <sheetData>
    <row r="1" spans="1:37" ht="15.6" customHeight="1" thickBot="1" x14ac:dyDescent="0.35">
      <c r="A1" s="254" t="s">
        <v>986</v>
      </c>
      <c r="B1" s="255"/>
      <c r="C1" s="255"/>
      <c r="D1" s="255"/>
      <c r="E1" s="256"/>
      <c r="F1" s="257"/>
      <c r="G1" s="257"/>
      <c r="H1" s="257"/>
      <c r="I1" s="257"/>
      <c r="J1" s="257"/>
      <c r="K1" s="257"/>
      <c r="L1" s="258"/>
    </row>
    <row r="2" spans="1:37" ht="15.6" x14ac:dyDescent="0.3">
      <c r="A2" s="678" t="s">
        <v>934</v>
      </c>
      <c r="B2" s="679"/>
      <c r="C2" s="679"/>
      <c r="D2" s="679"/>
      <c r="E2" s="679"/>
      <c r="F2" s="680"/>
      <c r="G2" s="678" t="s">
        <v>930</v>
      </c>
      <c r="H2" s="679"/>
      <c r="I2" s="679"/>
      <c r="J2" s="679"/>
      <c r="K2" s="679"/>
      <c r="L2" s="680"/>
    </row>
    <row r="3" spans="1:37" ht="94.2" thickBot="1" x14ac:dyDescent="0.35">
      <c r="A3" s="199" t="s">
        <v>919</v>
      </c>
      <c r="B3" s="191" t="s">
        <v>32</v>
      </c>
      <c r="C3" s="191" t="s">
        <v>920</v>
      </c>
      <c r="D3" s="191" t="s">
        <v>904</v>
      </c>
      <c r="E3" s="191" t="s">
        <v>905</v>
      </c>
      <c r="F3" s="200" t="s">
        <v>906</v>
      </c>
      <c r="G3" s="199" t="s">
        <v>919</v>
      </c>
      <c r="H3" s="191" t="s">
        <v>32</v>
      </c>
      <c r="I3" s="191" t="s">
        <v>920</v>
      </c>
      <c r="J3" s="191" t="s">
        <v>904</v>
      </c>
      <c r="K3" s="191" t="s">
        <v>905</v>
      </c>
      <c r="L3" s="200" t="s">
        <v>906</v>
      </c>
      <c r="R3" s="244"/>
      <c r="S3" s="244"/>
    </row>
    <row r="4" spans="1:37" ht="16.2" thickBot="1" x14ac:dyDescent="0.35">
      <c r="A4" s="549">
        <f t="shared" ref="A4:L4" si="0">AVERAGE(F9:F12,F18:F32)</f>
        <v>30.757290412280703</v>
      </c>
      <c r="B4" s="532">
        <f t="shared" si="0"/>
        <v>7.7222054649122809</v>
      </c>
      <c r="C4" s="250">
        <f t="shared" si="0"/>
        <v>0</v>
      </c>
      <c r="D4" s="532">
        <f t="shared" si="0"/>
        <v>23.035084947368421</v>
      </c>
      <c r="E4" s="532">
        <f t="shared" si="0"/>
        <v>30.757290412280703</v>
      </c>
      <c r="F4" s="533">
        <f t="shared" si="0"/>
        <v>30.878303756779694</v>
      </c>
      <c r="G4" s="252">
        <f t="shared" si="0"/>
        <v>110.38397947368422</v>
      </c>
      <c r="H4" s="250">
        <f t="shared" si="0"/>
        <v>29.293032105263162</v>
      </c>
      <c r="I4" s="250">
        <f>AVERAGE(N9:N12,N18:N32)</f>
        <v>0</v>
      </c>
      <c r="J4" s="250">
        <f t="shared" si="0"/>
        <v>81.090947368421041</v>
      </c>
      <c r="K4" s="250">
        <f t="shared" si="0"/>
        <v>110.38397947368422</v>
      </c>
      <c r="L4" s="251">
        <f t="shared" si="0"/>
        <v>115.41547818499116</v>
      </c>
    </row>
    <row r="5" spans="1:37" ht="14.4" x14ac:dyDescent="0.3">
      <c r="A5"/>
      <c r="B5"/>
      <c r="C5"/>
      <c r="D5"/>
      <c r="E5"/>
      <c r="F5"/>
      <c r="G5"/>
      <c r="H5"/>
      <c r="I5"/>
      <c r="J5"/>
      <c r="K5"/>
      <c r="L5"/>
      <c r="M5"/>
      <c r="N5"/>
      <c r="O5"/>
      <c r="P5"/>
      <c r="Q5"/>
      <c r="R5"/>
      <c r="S5"/>
    </row>
    <row r="6" spans="1:37" ht="15" thickBot="1" x14ac:dyDescent="0.35">
      <c r="A6"/>
      <c r="B6"/>
      <c r="C6"/>
      <c r="D6"/>
      <c r="E6"/>
      <c r="F6"/>
      <c r="G6"/>
      <c r="H6"/>
      <c r="I6"/>
      <c r="J6"/>
      <c r="K6"/>
      <c r="L6"/>
      <c r="M6"/>
      <c r="N6"/>
      <c r="O6"/>
      <c r="P6"/>
      <c r="Q6"/>
      <c r="R6"/>
      <c r="S6"/>
    </row>
    <row r="7" spans="1:37" ht="15.6" x14ac:dyDescent="0.3">
      <c r="A7" s="439" t="s">
        <v>537</v>
      </c>
      <c r="B7" s="440"/>
      <c r="C7" s="683" t="s">
        <v>935</v>
      </c>
      <c r="D7" s="683"/>
      <c r="E7" s="684" t="s">
        <v>926</v>
      </c>
      <c r="F7" s="686" t="s">
        <v>934</v>
      </c>
      <c r="G7" s="681"/>
      <c r="H7" s="681"/>
      <c r="I7" s="681"/>
      <c r="J7" s="681"/>
      <c r="K7" s="682"/>
      <c r="L7" s="686" t="s">
        <v>930</v>
      </c>
      <c r="M7" s="681"/>
      <c r="N7" s="681"/>
      <c r="O7" s="681"/>
      <c r="P7" s="681"/>
      <c r="Q7" s="682"/>
      <c r="R7" s="687" t="s">
        <v>931</v>
      </c>
      <c r="S7" s="681"/>
      <c r="T7" s="681"/>
      <c r="U7" s="681"/>
      <c r="V7" s="681"/>
      <c r="W7" s="681" t="s">
        <v>932</v>
      </c>
      <c r="X7" s="681"/>
      <c r="Y7" s="681"/>
      <c r="Z7" s="681"/>
      <c r="AA7" s="681"/>
      <c r="AB7" s="681"/>
      <c r="AC7" s="681"/>
      <c r="AD7" s="682"/>
      <c r="AE7" s="441"/>
      <c r="AF7" s="441"/>
      <c r="AG7" s="222"/>
      <c r="AH7" s="222"/>
      <c r="AI7" s="222"/>
      <c r="AJ7" s="222"/>
    </row>
    <row r="8" spans="1:37" s="94" customFormat="1" ht="93.6" x14ac:dyDescent="0.3">
      <c r="A8" s="442" t="s">
        <v>174</v>
      </c>
      <c r="B8" s="443" t="s">
        <v>526</v>
      </c>
      <c r="C8" s="444" t="s">
        <v>536</v>
      </c>
      <c r="D8" s="443" t="s">
        <v>32</v>
      </c>
      <c r="E8" s="685"/>
      <c r="F8" s="445" t="s">
        <v>919</v>
      </c>
      <c r="G8" s="170" t="s">
        <v>32</v>
      </c>
      <c r="H8" s="170" t="s">
        <v>920</v>
      </c>
      <c r="I8" s="170" t="s">
        <v>904</v>
      </c>
      <c r="J8" s="170" t="s">
        <v>905</v>
      </c>
      <c r="K8" s="446" t="s">
        <v>906</v>
      </c>
      <c r="L8" s="445" t="s">
        <v>919</v>
      </c>
      <c r="M8" s="170" t="s">
        <v>32</v>
      </c>
      <c r="N8" s="170" t="s">
        <v>920</v>
      </c>
      <c r="O8" s="170" t="s">
        <v>904</v>
      </c>
      <c r="P8" s="170" t="s">
        <v>905</v>
      </c>
      <c r="Q8" s="446" t="s">
        <v>906</v>
      </c>
      <c r="R8" s="447" t="s">
        <v>172</v>
      </c>
      <c r="S8" s="170" t="s">
        <v>902</v>
      </c>
      <c r="T8" s="170" t="s">
        <v>903</v>
      </c>
      <c r="U8" s="170" t="s">
        <v>904</v>
      </c>
      <c r="V8" s="448" t="s">
        <v>905</v>
      </c>
      <c r="W8" s="448" t="s">
        <v>907</v>
      </c>
      <c r="X8" s="448" t="s">
        <v>910</v>
      </c>
      <c r="Y8" s="448" t="s">
        <v>911</v>
      </c>
      <c r="Z8" s="449" t="s">
        <v>908</v>
      </c>
      <c r="AA8" s="449" t="s">
        <v>909</v>
      </c>
      <c r="AB8" s="449" t="s">
        <v>929</v>
      </c>
      <c r="AC8" s="449" t="s">
        <v>912</v>
      </c>
      <c r="AD8" s="446" t="s">
        <v>906</v>
      </c>
      <c r="AE8" s="441"/>
      <c r="AF8" s="441"/>
      <c r="AG8" s="222"/>
      <c r="AH8" s="450"/>
      <c r="AI8" s="450"/>
      <c r="AJ8" s="450"/>
    </row>
    <row r="9" spans="1:37" ht="15.6" x14ac:dyDescent="0.3">
      <c r="A9" s="451" t="s">
        <v>535</v>
      </c>
      <c r="B9" s="452" t="s">
        <v>534</v>
      </c>
      <c r="C9" s="453">
        <v>24.84</v>
      </c>
      <c r="D9" s="453">
        <v>3.14</v>
      </c>
      <c r="E9" s="454">
        <v>1</v>
      </c>
      <c r="F9" s="455">
        <f>L9/$E9</f>
        <v>25.311959999999999</v>
      </c>
      <c r="G9" s="456">
        <f t="shared" ref="G9:G12" si="1">M9/$E9</f>
        <v>3.1996599999999997</v>
      </c>
      <c r="H9" s="456">
        <f t="shared" ref="H9:H12" si="2">N9/$E9</f>
        <v>0</v>
      </c>
      <c r="I9" s="456">
        <f t="shared" ref="I9:I12" si="3">O9/$E9</f>
        <v>22.112299999999998</v>
      </c>
      <c r="J9" s="456">
        <f>P9/$E9</f>
        <v>25.311959999999999</v>
      </c>
      <c r="K9" s="457">
        <f t="shared" ref="K9:K12" si="4">Q9/$E9</f>
        <v>23.320225820532361</v>
      </c>
      <c r="L9" s="458">
        <f>R9*Inflation!$D$4</f>
        <v>25.311959999999999</v>
      </c>
      <c r="M9" s="137">
        <f>S9*Inflation!$D$4</f>
        <v>3.1996599999999997</v>
      </c>
      <c r="N9" s="137">
        <f>T9*Inflation!$D$4</f>
        <v>0</v>
      </c>
      <c r="O9" s="137">
        <f>U9*Inflation!$D$4</f>
        <v>22.112299999999998</v>
      </c>
      <c r="P9" s="137">
        <f>V9*Inflation!$D$4</f>
        <v>25.311959999999999</v>
      </c>
      <c r="Q9" s="229">
        <f>AD9*Inflation!$D$4</f>
        <v>23.320225820532361</v>
      </c>
      <c r="R9" s="228">
        <f t="shared" ref="R9:R12" si="5">C9</f>
        <v>24.84</v>
      </c>
      <c r="S9" s="137">
        <f t="shared" ref="S9:S12" si="6">D9</f>
        <v>3.14</v>
      </c>
      <c r="T9" s="137">
        <v>0</v>
      </c>
      <c r="U9" s="413">
        <f>R9-S9</f>
        <v>21.7</v>
      </c>
      <c r="V9" s="137">
        <f>R9+T9</f>
        <v>24.84</v>
      </c>
      <c r="W9" s="193">
        <v>0.05</v>
      </c>
      <c r="X9" s="194">
        <v>8</v>
      </c>
      <c r="Y9" s="194">
        <f>X9/3</f>
        <v>2.6666666666666665</v>
      </c>
      <c r="Z9" s="137">
        <f>((1+W9)^Y9-1)/(W9*(1+W9)^Y9)</f>
        <v>2.4399722394583159</v>
      </c>
      <c r="AA9" s="137">
        <f>((1+W9)^X9-1)/(W9*(1+W9)^X9)</f>
        <v>6.4632127594262556</v>
      </c>
      <c r="AB9" s="137">
        <f>Z9/AA9</f>
        <v>0.37751693009018539</v>
      </c>
      <c r="AC9" s="137">
        <f>S9*AB9</f>
        <v>1.1854031604831821</v>
      </c>
      <c r="AD9" s="229">
        <f>AC9+U9</f>
        <v>22.885403160483182</v>
      </c>
      <c r="AE9" s="441"/>
      <c r="AF9" s="441"/>
      <c r="AG9" s="222"/>
      <c r="AH9" s="222"/>
      <c r="AI9" s="222"/>
      <c r="AJ9" s="222"/>
    </row>
    <row r="10" spans="1:37" ht="15.6" x14ac:dyDescent="0.3">
      <c r="A10" s="451" t="s">
        <v>533</v>
      </c>
      <c r="B10" s="452" t="s">
        <v>532</v>
      </c>
      <c r="C10" s="453">
        <v>24.84</v>
      </c>
      <c r="D10" s="453">
        <v>7.01</v>
      </c>
      <c r="E10" s="454">
        <v>1</v>
      </c>
      <c r="F10" s="455">
        <f t="shared" ref="F10:F12" si="7">L10/$E10</f>
        <v>25.311959999999999</v>
      </c>
      <c r="G10" s="456">
        <f t="shared" si="1"/>
        <v>7.1431899999999988</v>
      </c>
      <c r="H10" s="456">
        <f t="shared" si="2"/>
        <v>0</v>
      </c>
      <c r="I10" s="456">
        <f t="shared" si="3"/>
        <v>18.168769999999995</v>
      </c>
      <c r="J10" s="456">
        <f t="shared" ref="J10:J12" si="8">P10/$E10</f>
        <v>25.311959999999999</v>
      </c>
      <c r="K10" s="457">
        <f t="shared" si="4"/>
        <v>20.865445159850907</v>
      </c>
      <c r="L10" s="458">
        <f>R10*Inflation!$D$4</f>
        <v>25.311959999999999</v>
      </c>
      <c r="M10" s="137">
        <f>S10*Inflation!$D$4</f>
        <v>7.1431899999999988</v>
      </c>
      <c r="N10" s="137">
        <f>T10*Inflation!$D$4</f>
        <v>0</v>
      </c>
      <c r="O10" s="137">
        <f>U10*Inflation!$D$4</f>
        <v>18.168769999999995</v>
      </c>
      <c r="P10" s="137">
        <f>V10*Inflation!$D$4</f>
        <v>25.311959999999999</v>
      </c>
      <c r="Q10" s="229">
        <f>AD10*Inflation!$D$4</f>
        <v>20.865445159850907</v>
      </c>
      <c r="R10" s="228">
        <f t="shared" si="5"/>
        <v>24.84</v>
      </c>
      <c r="S10" s="137">
        <f t="shared" si="6"/>
        <v>7.01</v>
      </c>
      <c r="T10" s="137">
        <v>0</v>
      </c>
      <c r="U10" s="413">
        <f t="shared" ref="U10:U12" si="9">R10-S10</f>
        <v>17.829999999999998</v>
      </c>
      <c r="V10" s="137">
        <f t="shared" ref="V10:V12" si="10">R10+T10</f>
        <v>24.84</v>
      </c>
      <c r="W10" s="193">
        <v>0.05</v>
      </c>
      <c r="X10" s="194">
        <v>8</v>
      </c>
      <c r="Y10" s="194">
        <f t="shared" ref="Y10:Y12" si="11">X10/3</f>
        <v>2.6666666666666665</v>
      </c>
      <c r="Z10" s="137">
        <f t="shared" ref="Z10:Z12" si="12">((1+W10)^Y10-1)/(W10*(1+W10)^Y10)</f>
        <v>2.4399722394583159</v>
      </c>
      <c r="AA10" s="137">
        <f t="shared" ref="AA10:AA12" si="13">((1+W10)^X10-1)/(W10*(1+W10)^X10)</f>
        <v>6.4632127594262556</v>
      </c>
      <c r="AB10" s="137">
        <f t="shared" ref="AB10:AB12" si="14">Z10/AA10</f>
        <v>0.37751693009018539</v>
      </c>
      <c r="AC10" s="137">
        <f t="shared" ref="AC10:AC12" si="15">S10*AB10</f>
        <v>2.6463936799321996</v>
      </c>
      <c r="AD10" s="229">
        <f t="shared" ref="AD10:AD12" si="16">AC10+U10</f>
        <v>20.476393679932198</v>
      </c>
      <c r="AE10" s="441"/>
      <c r="AF10" s="441"/>
      <c r="AG10" s="222"/>
      <c r="AH10" s="222"/>
      <c r="AI10" s="222"/>
      <c r="AJ10" s="222"/>
    </row>
    <row r="11" spans="1:37" ht="15.6" x14ac:dyDescent="0.3">
      <c r="A11" s="451" t="s">
        <v>531</v>
      </c>
      <c r="B11" s="452" t="s">
        <v>530</v>
      </c>
      <c r="C11" s="453">
        <v>31.16</v>
      </c>
      <c r="D11" s="453">
        <v>6.28</v>
      </c>
      <c r="E11" s="454">
        <v>1</v>
      </c>
      <c r="F11" s="455">
        <f t="shared" si="7"/>
        <v>31.752039999999997</v>
      </c>
      <c r="G11" s="456">
        <f t="shared" si="1"/>
        <v>6.3993199999999995</v>
      </c>
      <c r="H11" s="456">
        <f t="shared" si="2"/>
        <v>0</v>
      </c>
      <c r="I11" s="456">
        <f t="shared" si="3"/>
        <v>25.352719999999998</v>
      </c>
      <c r="J11" s="456">
        <f t="shared" si="8"/>
        <v>31.752039999999997</v>
      </c>
      <c r="K11" s="457">
        <f t="shared" si="4"/>
        <v>27.768571641064721</v>
      </c>
      <c r="L11" s="458">
        <f>R11*Inflation!$D$4</f>
        <v>31.752039999999997</v>
      </c>
      <c r="M11" s="137">
        <f>S11*Inflation!$D$4</f>
        <v>6.3993199999999995</v>
      </c>
      <c r="N11" s="137">
        <f>T11*Inflation!$D$4</f>
        <v>0</v>
      </c>
      <c r="O11" s="137">
        <f>U11*Inflation!$D$4</f>
        <v>25.352719999999998</v>
      </c>
      <c r="P11" s="137">
        <f>V11*Inflation!$D$4</f>
        <v>31.752039999999997</v>
      </c>
      <c r="Q11" s="229">
        <f>AD11*Inflation!$D$4</f>
        <v>27.768571641064721</v>
      </c>
      <c r="R11" s="228">
        <f t="shared" si="5"/>
        <v>31.16</v>
      </c>
      <c r="S11" s="137">
        <f t="shared" si="6"/>
        <v>6.28</v>
      </c>
      <c r="T11" s="137">
        <v>0</v>
      </c>
      <c r="U11" s="413">
        <f t="shared" si="9"/>
        <v>24.88</v>
      </c>
      <c r="V11" s="137">
        <f t="shared" si="10"/>
        <v>31.16</v>
      </c>
      <c r="W11" s="193">
        <v>0.05</v>
      </c>
      <c r="X11" s="194">
        <v>8</v>
      </c>
      <c r="Y11" s="194">
        <f t="shared" si="11"/>
        <v>2.6666666666666665</v>
      </c>
      <c r="Z11" s="137">
        <f t="shared" si="12"/>
        <v>2.4399722394583159</v>
      </c>
      <c r="AA11" s="137">
        <f t="shared" si="13"/>
        <v>6.4632127594262556</v>
      </c>
      <c r="AB11" s="137">
        <f t="shared" si="14"/>
        <v>0.37751693009018539</v>
      </c>
      <c r="AC11" s="137">
        <f t="shared" si="15"/>
        <v>2.3708063209663641</v>
      </c>
      <c r="AD11" s="229">
        <f t="shared" si="16"/>
        <v>27.250806320966362</v>
      </c>
      <c r="AE11" s="441"/>
      <c r="AF11" s="441"/>
      <c r="AG11" s="222"/>
      <c r="AH11" s="222"/>
      <c r="AI11" s="222"/>
      <c r="AJ11" s="222"/>
    </row>
    <row r="12" spans="1:37" ht="16.2" thickBot="1" x14ac:dyDescent="0.35">
      <c r="A12" s="459" t="s">
        <v>529</v>
      </c>
      <c r="B12" s="460" t="s">
        <v>528</v>
      </c>
      <c r="C12" s="461">
        <v>31.16</v>
      </c>
      <c r="D12" s="461">
        <v>14.03</v>
      </c>
      <c r="E12" s="462">
        <v>1</v>
      </c>
      <c r="F12" s="463">
        <f t="shared" si="7"/>
        <v>31.752039999999997</v>
      </c>
      <c r="G12" s="464">
        <f t="shared" si="1"/>
        <v>14.296569999999997</v>
      </c>
      <c r="H12" s="464">
        <f t="shared" si="2"/>
        <v>0</v>
      </c>
      <c r="I12" s="464">
        <f t="shared" si="3"/>
        <v>17.455470000000002</v>
      </c>
      <c r="J12" s="464">
        <f t="shared" si="8"/>
        <v>31.752039999999997</v>
      </c>
      <c r="K12" s="465">
        <f t="shared" si="4"/>
        <v>22.852667217219441</v>
      </c>
      <c r="L12" s="466">
        <f>R12*Inflation!$D$4</f>
        <v>31.752039999999997</v>
      </c>
      <c r="M12" s="467">
        <f>S12*Inflation!$D$4</f>
        <v>14.296569999999997</v>
      </c>
      <c r="N12" s="467">
        <f>T12*Inflation!$D$4</f>
        <v>0</v>
      </c>
      <c r="O12" s="467">
        <f>U12*Inflation!$D$4</f>
        <v>17.455470000000002</v>
      </c>
      <c r="P12" s="467">
        <f>V12*Inflation!$D$4</f>
        <v>31.752039999999997</v>
      </c>
      <c r="Q12" s="468">
        <f>AD12*Inflation!$D$4</f>
        <v>22.852667217219441</v>
      </c>
      <c r="R12" s="228">
        <f t="shared" si="5"/>
        <v>31.16</v>
      </c>
      <c r="S12" s="137">
        <f t="shared" si="6"/>
        <v>14.03</v>
      </c>
      <c r="T12" s="137">
        <v>0</v>
      </c>
      <c r="U12" s="413">
        <f t="shared" si="9"/>
        <v>17.130000000000003</v>
      </c>
      <c r="V12" s="137">
        <f t="shared" si="10"/>
        <v>31.16</v>
      </c>
      <c r="W12" s="193">
        <v>0.05</v>
      </c>
      <c r="X12" s="194">
        <v>8</v>
      </c>
      <c r="Y12" s="194">
        <f t="shared" si="11"/>
        <v>2.6666666666666665</v>
      </c>
      <c r="Z12" s="137">
        <f t="shared" si="12"/>
        <v>2.4399722394583159</v>
      </c>
      <c r="AA12" s="137">
        <f t="shared" si="13"/>
        <v>6.4632127594262556</v>
      </c>
      <c r="AB12" s="137">
        <f t="shared" si="14"/>
        <v>0.37751693009018539</v>
      </c>
      <c r="AC12" s="137">
        <f t="shared" si="15"/>
        <v>5.2965625291653007</v>
      </c>
      <c r="AD12" s="229">
        <f t="shared" si="16"/>
        <v>22.426562529165302</v>
      </c>
      <c r="AE12" s="441"/>
      <c r="AF12" s="441"/>
      <c r="AG12" s="222"/>
      <c r="AH12" s="222"/>
      <c r="AI12" s="222"/>
      <c r="AJ12" s="222"/>
    </row>
    <row r="13" spans="1:37" ht="15.6" x14ac:dyDescent="0.3">
      <c r="A13" s="230" t="s">
        <v>24</v>
      </c>
      <c r="B13" s="227" t="s">
        <v>950</v>
      </c>
      <c r="C13" s="223"/>
      <c r="D13" s="223"/>
      <c r="E13" s="224"/>
      <c r="F13" s="225"/>
      <c r="G13" s="225"/>
      <c r="H13" s="225"/>
      <c r="I13" s="225"/>
      <c r="J13" s="225"/>
      <c r="K13" s="225"/>
      <c r="L13" s="196"/>
      <c r="M13" s="196"/>
      <c r="N13" s="196"/>
      <c r="O13" s="196"/>
      <c r="P13" s="196"/>
      <c r="Q13" s="196"/>
      <c r="R13" s="196"/>
      <c r="S13" s="196"/>
      <c r="T13" s="196"/>
      <c r="U13" s="226"/>
      <c r="V13" s="196"/>
      <c r="W13" s="197"/>
      <c r="X13" s="198"/>
      <c r="Y13" s="198"/>
      <c r="Z13" s="196"/>
      <c r="AA13" s="196"/>
      <c r="AB13" s="196"/>
      <c r="AC13" s="196"/>
      <c r="AD13" s="231"/>
      <c r="AE13" s="195"/>
      <c r="AF13" s="195"/>
    </row>
    <row r="14" spans="1:37" ht="16.2" thickBot="1" x14ac:dyDescent="0.35">
      <c r="A14" s="232" t="s">
        <v>957</v>
      </c>
      <c r="B14" s="233" t="s">
        <v>611</v>
      </c>
      <c r="C14" s="234"/>
      <c r="D14" s="234"/>
      <c r="E14" s="235"/>
      <c r="F14" s="236"/>
      <c r="G14" s="236"/>
      <c r="H14" s="236"/>
      <c r="I14" s="236"/>
      <c r="J14" s="236"/>
      <c r="K14" s="236"/>
      <c r="L14" s="237"/>
      <c r="M14" s="237"/>
      <c r="N14" s="237"/>
      <c r="O14" s="237"/>
      <c r="P14" s="237"/>
      <c r="Q14" s="237"/>
      <c r="R14" s="237"/>
      <c r="S14" s="237"/>
      <c r="T14" s="237"/>
      <c r="U14" s="238"/>
      <c r="V14" s="237"/>
      <c r="W14" s="239"/>
      <c r="X14" s="240"/>
      <c r="Y14" s="240"/>
      <c r="Z14" s="237"/>
      <c r="AA14" s="237"/>
      <c r="AB14" s="237"/>
      <c r="AC14" s="237"/>
      <c r="AD14" s="241"/>
      <c r="AE14" s="195"/>
      <c r="AF14" s="195"/>
    </row>
    <row r="15" spans="1:37" ht="16.2" thickBot="1" x14ac:dyDescent="0.35">
      <c r="A15" s="469"/>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41"/>
      <c r="AF15" s="441"/>
      <c r="AG15" s="222"/>
      <c r="AH15" s="222"/>
      <c r="AI15" s="222"/>
      <c r="AJ15" s="222"/>
      <c r="AK15" s="222"/>
    </row>
    <row r="16" spans="1:37" ht="15.6" x14ac:dyDescent="0.3">
      <c r="A16" s="439" t="s">
        <v>171</v>
      </c>
      <c r="B16" s="470"/>
      <c r="C16" s="683" t="s">
        <v>927</v>
      </c>
      <c r="D16" s="683"/>
      <c r="E16" s="684" t="s">
        <v>926</v>
      </c>
      <c r="F16" s="471" t="s">
        <v>934</v>
      </c>
      <c r="G16" s="472"/>
      <c r="H16" s="472"/>
      <c r="I16" s="472"/>
      <c r="J16" s="472"/>
      <c r="K16" s="473"/>
      <c r="L16" s="686" t="s">
        <v>930</v>
      </c>
      <c r="M16" s="681"/>
      <c r="N16" s="681"/>
      <c r="O16" s="681"/>
      <c r="P16" s="681"/>
      <c r="Q16" s="682"/>
      <c r="R16" s="687" t="s">
        <v>931</v>
      </c>
      <c r="S16" s="681"/>
      <c r="T16" s="681"/>
      <c r="U16" s="681"/>
      <c r="V16" s="681"/>
      <c r="W16" s="681" t="s">
        <v>933</v>
      </c>
      <c r="X16" s="681"/>
      <c r="Y16" s="681"/>
      <c r="Z16" s="681"/>
      <c r="AA16" s="681"/>
      <c r="AB16" s="681"/>
      <c r="AC16" s="681"/>
      <c r="AD16" s="682"/>
      <c r="AE16" s="441"/>
      <c r="AF16" s="441"/>
      <c r="AG16" s="222"/>
      <c r="AH16" s="222"/>
      <c r="AI16" s="222"/>
      <c r="AJ16" s="222"/>
      <c r="AK16" s="222"/>
    </row>
    <row r="17" spans="1:37" ht="93.6" x14ac:dyDescent="0.3">
      <c r="A17" s="442" t="s">
        <v>527</v>
      </c>
      <c r="B17" s="443" t="s">
        <v>526</v>
      </c>
      <c r="C17" s="443" t="s">
        <v>172</v>
      </c>
      <c r="D17" s="443" t="s">
        <v>32</v>
      </c>
      <c r="E17" s="685"/>
      <c r="F17" s="445" t="s">
        <v>919</v>
      </c>
      <c r="G17" s="170" t="s">
        <v>32</v>
      </c>
      <c r="H17" s="170" t="s">
        <v>920</v>
      </c>
      <c r="I17" s="170" t="s">
        <v>904</v>
      </c>
      <c r="J17" s="170" t="s">
        <v>905</v>
      </c>
      <c r="K17" s="446" t="s">
        <v>906</v>
      </c>
      <c r="L17" s="445" t="s">
        <v>919</v>
      </c>
      <c r="M17" s="170" t="s">
        <v>32</v>
      </c>
      <c r="N17" s="170" t="s">
        <v>920</v>
      </c>
      <c r="O17" s="170" t="s">
        <v>904</v>
      </c>
      <c r="P17" s="170" t="s">
        <v>905</v>
      </c>
      <c r="Q17" s="446" t="s">
        <v>906</v>
      </c>
      <c r="R17" s="447" t="s">
        <v>172</v>
      </c>
      <c r="S17" s="170" t="s">
        <v>902</v>
      </c>
      <c r="T17" s="170" t="s">
        <v>903</v>
      </c>
      <c r="U17" s="170" t="s">
        <v>904</v>
      </c>
      <c r="V17" s="448" t="s">
        <v>905</v>
      </c>
      <c r="W17" s="448" t="s">
        <v>907</v>
      </c>
      <c r="X17" s="448" t="s">
        <v>910</v>
      </c>
      <c r="Y17" s="448" t="s">
        <v>911</v>
      </c>
      <c r="Z17" s="449" t="s">
        <v>908</v>
      </c>
      <c r="AA17" s="449" t="s">
        <v>909</v>
      </c>
      <c r="AB17" s="449" t="s">
        <v>929</v>
      </c>
      <c r="AC17" s="449" t="s">
        <v>912</v>
      </c>
      <c r="AD17" s="446" t="s">
        <v>906</v>
      </c>
      <c r="AE17" s="441"/>
      <c r="AF17" s="441"/>
      <c r="AG17" s="222"/>
      <c r="AH17" s="222"/>
      <c r="AI17" s="222"/>
      <c r="AJ17" s="222"/>
      <c r="AK17" s="222"/>
    </row>
    <row r="18" spans="1:37" ht="15.6" x14ac:dyDescent="0.3">
      <c r="A18" s="474" t="s">
        <v>503</v>
      </c>
      <c r="B18" s="475" t="s">
        <v>525</v>
      </c>
      <c r="C18" s="476">
        <v>118.18999999999984</v>
      </c>
      <c r="D18" s="476">
        <v>20.980000000000008</v>
      </c>
      <c r="E18" s="454">
        <v>4</v>
      </c>
      <c r="F18" s="455">
        <f t="shared" ref="F18:F32" si="17">L18/$E18</f>
        <v>30.108902499999957</v>
      </c>
      <c r="G18" s="456">
        <f t="shared" ref="G18:G32" si="18">M18/$E18</f>
        <v>5.3446550000000013</v>
      </c>
      <c r="H18" s="456">
        <f t="shared" ref="H18:H32" si="19">N18/$E18</f>
        <v>0</v>
      </c>
      <c r="I18" s="456">
        <f t="shared" ref="I18:I32" si="20">O18/$E18</f>
        <v>24.764247499999957</v>
      </c>
      <c r="J18" s="456">
        <f t="shared" ref="J18:J32" si="21">P18/$E18</f>
        <v>30.108902499999957</v>
      </c>
      <c r="K18" s="457">
        <f t="shared" ref="K18:K32" si="22">Q18/$E18</f>
        <v>26.781945247991118</v>
      </c>
      <c r="L18" s="458">
        <f>R18*Inflation!$D$4</f>
        <v>120.43560999999983</v>
      </c>
      <c r="M18" s="137">
        <f>S18*Inflation!$D$4</f>
        <v>21.378620000000005</v>
      </c>
      <c r="N18" s="137">
        <f>T18*Inflation!$D$4</f>
        <v>0</v>
      </c>
      <c r="O18" s="137">
        <f>U18*Inflation!$D$4</f>
        <v>99.056989999999828</v>
      </c>
      <c r="P18" s="137">
        <f>V18*Inflation!$D$4</f>
        <v>120.43560999999983</v>
      </c>
      <c r="Q18" s="229">
        <f>AD18*Inflation!$D$4</f>
        <v>107.12778099196447</v>
      </c>
      <c r="R18" s="228">
        <f>C18</f>
        <v>118.18999999999984</v>
      </c>
      <c r="S18" s="137">
        <f>D18</f>
        <v>20.980000000000008</v>
      </c>
      <c r="T18" s="137">
        <v>0</v>
      </c>
      <c r="U18" s="413">
        <f>R18-S18</f>
        <v>97.209999999999837</v>
      </c>
      <c r="V18" s="137">
        <f>R18+T18</f>
        <v>118.18999999999984</v>
      </c>
      <c r="W18" s="193">
        <v>0.05</v>
      </c>
      <c r="X18" s="194">
        <v>8</v>
      </c>
      <c r="Y18" s="194">
        <f>X18/3</f>
        <v>2.6666666666666665</v>
      </c>
      <c r="Z18" s="137">
        <f>((1+W18)^Y18-1)/(W18*(1+W18)^Y18)</f>
        <v>2.4399722394583159</v>
      </c>
      <c r="AA18" s="137">
        <f>((1+W18)^X18-1)/(W18*(1+W18)^X18)</f>
        <v>6.4632127594262556</v>
      </c>
      <c r="AB18" s="137">
        <f>Z18/AA18</f>
        <v>0.37751693009018539</v>
      </c>
      <c r="AC18" s="137">
        <f>S18*AB18</f>
        <v>7.9203051932920925</v>
      </c>
      <c r="AD18" s="229">
        <f>AC18+U18</f>
        <v>105.13030519329193</v>
      </c>
      <c r="AE18" s="441"/>
      <c r="AF18" s="441"/>
      <c r="AG18" s="222"/>
      <c r="AH18" s="222"/>
      <c r="AI18" s="222"/>
      <c r="AJ18" s="222"/>
      <c r="AK18" s="222"/>
    </row>
    <row r="19" spans="1:37" ht="15.6" x14ac:dyDescent="0.3">
      <c r="A19" s="474" t="s">
        <v>524</v>
      </c>
      <c r="B19" s="475" t="s">
        <v>502</v>
      </c>
      <c r="C19" s="476">
        <v>118.19000000000004</v>
      </c>
      <c r="D19" s="476">
        <v>29.05999999999996</v>
      </c>
      <c r="E19" s="454">
        <v>4</v>
      </c>
      <c r="F19" s="455">
        <f t="shared" si="17"/>
        <v>30.108902500000006</v>
      </c>
      <c r="G19" s="456">
        <f t="shared" si="18"/>
        <v>7.4030349999999894</v>
      </c>
      <c r="H19" s="456">
        <f t="shared" si="19"/>
        <v>0</v>
      </c>
      <c r="I19" s="456">
        <f t="shared" si="20"/>
        <v>22.705867500000018</v>
      </c>
      <c r="J19" s="456">
        <f t="shared" si="21"/>
        <v>30.108902500000006</v>
      </c>
      <c r="K19" s="457">
        <f t="shared" si="22"/>
        <v>25.50063854655021</v>
      </c>
      <c r="L19" s="458">
        <f>R19*Inflation!$D$4</f>
        <v>120.43561000000003</v>
      </c>
      <c r="M19" s="137">
        <f>S19*Inflation!$D$4</f>
        <v>29.612139999999957</v>
      </c>
      <c r="N19" s="137">
        <f>T19*Inflation!$D$4</f>
        <v>0</v>
      </c>
      <c r="O19" s="137">
        <f>U19*Inflation!$D$4</f>
        <v>90.823470000000071</v>
      </c>
      <c r="P19" s="137">
        <f>V19*Inflation!$D$4</f>
        <v>120.43561000000003</v>
      </c>
      <c r="Q19" s="229">
        <f>AD19*Inflation!$D$4</f>
        <v>102.00255418620084</v>
      </c>
      <c r="R19" s="228">
        <f t="shared" ref="R19:R32" si="23">C19</f>
        <v>118.19000000000004</v>
      </c>
      <c r="S19" s="137">
        <f t="shared" ref="S19:S32" si="24">D19</f>
        <v>29.05999999999996</v>
      </c>
      <c r="T19" s="137">
        <v>0</v>
      </c>
      <c r="U19" s="413">
        <f t="shared" ref="U19:U32" si="25">R19-S19</f>
        <v>89.130000000000081</v>
      </c>
      <c r="V19" s="137">
        <f t="shared" ref="V19:V32" si="26">R19+T19</f>
        <v>118.19000000000004</v>
      </c>
      <c r="W19" s="193">
        <v>0.05</v>
      </c>
      <c r="X19" s="194">
        <v>8</v>
      </c>
      <c r="Y19" s="194">
        <f t="shared" ref="Y19:Y32" si="27">X19/3</f>
        <v>2.6666666666666665</v>
      </c>
      <c r="Z19" s="137">
        <f t="shared" ref="Z19:Z32" si="28">((1+W19)^Y19-1)/(W19*(1+W19)^Y19)</f>
        <v>2.4399722394583159</v>
      </c>
      <c r="AA19" s="137">
        <f t="shared" ref="AA19:AA32" si="29">((1+W19)^X19-1)/(W19*(1+W19)^X19)</f>
        <v>6.4632127594262556</v>
      </c>
      <c r="AB19" s="137">
        <f t="shared" ref="AB19:AB32" si="30">Z19/AA19</f>
        <v>0.37751693009018539</v>
      </c>
      <c r="AC19" s="137">
        <f t="shared" ref="AC19:AC32" si="31">S19*AB19</f>
        <v>10.970641988420772</v>
      </c>
      <c r="AD19" s="229">
        <f t="shared" ref="AD19:AD21" si="32">AC19+U19</f>
        <v>100.10064198842085</v>
      </c>
      <c r="AE19" s="441"/>
      <c r="AF19" s="441"/>
      <c r="AG19" s="222"/>
      <c r="AH19" s="222"/>
      <c r="AI19" s="222"/>
      <c r="AJ19" s="222"/>
      <c r="AK19" s="222"/>
    </row>
    <row r="20" spans="1:37" ht="15.6" x14ac:dyDescent="0.3">
      <c r="A20" s="474" t="s">
        <v>523</v>
      </c>
      <c r="B20" s="475" t="s">
        <v>522</v>
      </c>
      <c r="C20" s="476">
        <v>118.19000000000004</v>
      </c>
      <c r="D20" s="476">
        <v>17.95</v>
      </c>
      <c r="E20" s="454">
        <v>4</v>
      </c>
      <c r="F20" s="455">
        <f t="shared" si="17"/>
        <v>30.108902500000006</v>
      </c>
      <c r="G20" s="456">
        <f t="shared" si="18"/>
        <v>4.5727624999999996</v>
      </c>
      <c r="H20" s="456">
        <f t="shared" si="19"/>
        <v>0</v>
      </c>
      <c r="I20" s="456">
        <f t="shared" si="20"/>
        <v>25.536140000000007</v>
      </c>
      <c r="J20" s="456">
        <f t="shared" si="21"/>
        <v>30.108902500000006</v>
      </c>
      <c r="K20" s="457">
        <f t="shared" si="22"/>
        <v>27.262435261031527</v>
      </c>
      <c r="L20" s="458">
        <f>R20*Inflation!$D$4</f>
        <v>120.43561000000003</v>
      </c>
      <c r="M20" s="137">
        <f>S20*Inflation!$D$4</f>
        <v>18.291049999999998</v>
      </c>
      <c r="N20" s="137">
        <f>T20*Inflation!$D$4</f>
        <v>0</v>
      </c>
      <c r="O20" s="137">
        <f>U20*Inflation!$D$4</f>
        <v>102.14456000000003</v>
      </c>
      <c r="P20" s="137">
        <f>V20*Inflation!$D$4</f>
        <v>120.43561000000003</v>
      </c>
      <c r="Q20" s="229">
        <f>AD20*Inflation!$D$4</f>
        <v>109.04974104412611</v>
      </c>
      <c r="R20" s="228">
        <f t="shared" si="23"/>
        <v>118.19000000000004</v>
      </c>
      <c r="S20" s="137">
        <f t="shared" si="24"/>
        <v>17.95</v>
      </c>
      <c r="T20" s="137">
        <v>0</v>
      </c>
      <c r="U20" s="413">
        <f t="shared" si="25"/>
        <v>100.24000000000004</v>
      </c>
      <c r="V20" s="137">
        <f t="shared" si="26"/>
        <v>118.19000000000004</v>
      </c>
      <c r="W20" s="193">
        <v>0.05</v>
      </c>
      <c r="X20" s="194">
        <v>8</v>
      </c>
      <c r="Y20" s="194">
        <f t="shared" si="27"/>
        <v>2.6666666666666665</v>
      </c>
      <c r="Z20" s="137">
        <f t="shared" si="28"/>
        <v>2.4399722394583159</v>
      </c>
      <c r="AA20" s="137">
        <f t="shared" si="29"/>
        <v>6.4632127594262556</v>
      </c>
      <c r="AB20" s="137">
        <f t="shared" si="30"/>
        <v>0.37751693009018539</v>
      </c>
      <c r="AC20" s="137">
        <f t="shared" si="31"/>
        <v>6.7764288951188272</v>
      </c>
      <c r="AD20" s="229">
        <f t="shared" si="32"/>
        <v>107.01642889511886</v>
      </c>
      <c r="AE20" s="441"/>
      <c r="AF20" s="441"/>
      <c r="AG20" s="222"/>
      <c r="AH20" s="222"/>
      <c r="AI20" s="222"/>
      <c r="AJ20" s="222"/>
      <c r="AK20" s="222"/>
    </row>
    <row r="21" spans="1:37" ht="15.6" x14ac:dyDescent="0.3">
      <c r="A21" s="474" t="s">
        <v>521</v>
      </c>
      <c r="B21" s="475" t="s">
        <v>520</v>
      </c>
      <c r="C21" s="476">
        <v>104.55000000000005</v>
      </c>
      <c r="D21" s="476">
        <v>13.930000000000005</v>
      </c>
      <c r="E21" s="454">
        <v>3</v>
      </c>
      <c r="F21" s="455">
        <f t="shared" si="17"/>
        <v>35.512150000000013</v>
      </c>
      <c r="G21" s="456">
        <f t="shared" si="18"/>
        <v>4.731556666666668</v>
      </c>
      <c r="H21" s="456">
        <f t="shared" si="19"/>
        <v>0</v>
      </c>
      <c r="I21" s="456">
        <f t="shared" si="20"/>
        <v>30.780593333333346</v>
      </c>
      <c r="J21" s="456">
        <f t="shared" si="21"/>
        <v>35.512150000000013</v>
      </c>
      <c r="K21" s="457">
        <f t="shared" si="22"/>
        <v>32.566836080681099</v>
      </c>
      <c r="L21" s="458">
        <f>R21*Inflation!$D$4</f>
        <v>106.53645000000004</v>
      </c>
      <c r="M21" s="137">
        <f>S21*Inflation!$D$4</f>
        <v>14.194670000000004</v>
      </c>
      <c r="N21" s="137">
        <f>T21*Inflation!$D$4</f>
        <v>0</v>
      </c>
      <c r="O21" s="137">
        <f>U21*Inflation!$D$4</f>
        <v>92.341780000000043</v>
      </c>
      <c r="P21" s="137">
        <f>V21*Inflation!$D$4</f>
        <v>106.53645000000004</v>
      </c>
      <c r="Q21" s="229">
        <f>AD21*Inflation!$D$4</f>
        <v>97.700508242043298</v>
      </c>
      <c r="R21" s="228">
        <f t="shared" si="23"/>
        <v>104.55000000000005</v>
      </c>
      <c r="S21" s="137">
        <f t="shared" si="24"/>
        <v>13.930000000000005</v>
      </c>
      <c r="T21" s="137">
        <v>0</v>
      </c>
      <c r="U21" s="413">
        <f t="shared" si="25"/>
        <v>90.620000000000047</v>
      </c>
      <c r="V21" s="137">
        <f t="shared" si="26"/>
        <v>104.55000000000005</v>
      </c>
      <c r="W21" s="193">
        <v>0.05</v>
      </c>
      <c r="X21" s="194">
        <v>8</v>
      </c>
      <c r="Y21" s="194">
        <f t="shared" si="27"/>
        <v>2.6666666666666665</v>
      </c>
      <c r="Z21" s="137">
        <f t="shared" si="28"/>
        <v>2.4399722394583159</v>
      </c>
      <c r="AA21" s="137">
        <f t="shared" si="29"/>
        <v>6.4632127594262556</v>
      </c>
      <c r="AB21" s="137">
        <f t="shared" si="30"/>
        <v>0.37751693009018539</v>
      </c>
      <c r="AC21" s="137">
        <f t="shared" si="31"/>
        <v>5.2588108361562842</v>
      </c>
      <c r="AD21" s="229">
        <f t="shared" si="32"/>
        <v>95.878810836156333</v>
      </c>
      <c r="AE21" s="441"/>
      <c r="AF21" s="441"/>
      <c r="AG21" s="222"/>
      <c r="AH21" s="222"/>
      <c r="AI21" s="222"/>
      <c r="AJ21" s="222"/>
      <c r="AK21" s="222"/>
    </row>
    <row r="22" spans="1:37" ht="15.6" x14ac:dyDescent="0.3">
      <c r="A22" s="474" t="s">
        <v>519</v>
      </c>
      <c r="B22" s="475" t="s">
        <v>518</v>
      </c>
      <c r="C22" s="476">
        <v>104.55000000000005</v>
      </c>
      <c r="D22" s="476">
        <v>17.75</v>
      </c>
      <c r="E22" s="454">
        <v>3</v>
      </c>
      <c r="F22" s="455">
        <f t="shared" si="17"/>
        <v>35.512150000000013</v>
      </c>
      <c r="G22" s="456">
        <f t="shared" si="18"/>
        <v>6.0290833333333325</v>
      </c>
      <c r="H22" s="456">
        <f t="shared" si="19"/>
        <v>0</v>
      </c>
      <c r="I22" s="456">
        <f t="shared" si="20"/>
        <v>29.483066666666684</v>
      </c>
      <c r="J22" s="456">
        <f t="shared" si="21"/>
        <v>35.512150000000013</v>
      </c>
      <c r="K22" s="457">
        <f t="shared" si="22"/>
        <v>37.788231031257915</v>
      </c>
      <c r="L22" s="458">
        <f>R22*Inflation!$D$4</f>
        <v>106.53645000000004</v>
      </c>
      <c r="M22" s="137">
        <f>S22*Inflation!$D$4</f>
        <v>18.087249999999997</v>
      </c>
      <c r="N22" s="137">
        <f>T22*Inflation!$D$4</f>
        <v>0</v>
      </c>
      <c r="O22" s="137">
        <f>U22*Inflation!$D$4</f>
        <v>88.449200000000047</v>
      </c>
      <c r="P22" s="137">
        <f>V22*Inflation!$D$4</f>
        <v>106.53645000000004</v>
      </c>
      <c r="Q22" s="229">
        <f>AD22*Inflation!$D$4</f>
        <v>113.36469309377374</v>
      </c>
      <c r="R22" s="228">
        <f t="shared" si="23"/>
        <v>104.55000000000005</v>
      </c>
      <c r="S22" s="137">
        <f t="shared" si="24"/>
        <v>17.75</v>
      </c>
      <c r="T22" s="137">
        <v>0</v>
      </c>
      <c r="U22" s="413">
        <f t="shared" si="25"/>
        <v>86.800000000000054</v>
      </c>
      <c r="V22" s="137">
        <f t="shared" si="26"/>
        <v>104.55000000000005</v>
      </c>
      <c r="W22" s="193">
        <v>0.05</v>
      </c>
      <c r="X22" s="194">
        <v>8</v>
      </c>
      <c r="Y22" s="194">
        <f t="shared" si="27"/>
        <v>2.6666666666666665</v>
      </c>
      <c r="Z22" s="137">
        <f t="shared" si="28"/>
        <v>2.4399722394583159</v>
      </c>
      <c r="AA22" s="137">
        <f t="shared" si="29"/>
        <v>6.4632127594262556</v>
      </c>
      <c r="AB22" s="137">
        <f t="shared" si="30"/>
        <v>0.37751693009018539</v>
      </c>
      <c r="AC22" s="137">
        <f t="shared" si="31"/>
        <v>6.7009255091007907</v>
      </c>
      <c r="AD22" s="229">
        <f t="shared" ref="AD22:AD32" si="33">V22+AC22</f>
        <v>111.25092550910084</v>
      </c>
      <c r="AE22" s="441"/>
      <c r="AF22" s="441"/>
      <c r="AG22" s="222"/>
      <c r="AH22" s="222"/>
      <c r="AI22" s="222"/>
      <c r="AJ22" s="222"/>
      <c r="AK22" s="222"/>
    </row>
    <row r="23" spans="1:37" ht="16.5" x14ac:dyDescent="0.3">
      <c r="A23" s="474" t="s">
        <v>517</v>
      </c>
      <c r="B23" s="475" t="s">
        <v>516</v>
      </c>
      <c r="C23" s="476">
        <v>104.55000000000005</v>
      </c>
      <c r="D23" s="476">
        <v>11.680000000000005</v>
      </c>
      <c r="E23" s="454">
        <v>3</v>
      </c>
      <c r="F23" s="455">
        <f t="shared" si="17"/>
        <v>35.512150000000013</v>
      </c>
      <c r="G23" s="456">
        <f t="shared" si="18"/>
        <v>3.9673066666666679</v>
      </c>
      <c r="H23" s="456">
        <f t="shared" si="19"/>
        <v>0</v>
      </c>
      <c r="I23" s="456">
        <f t="shared" si="20"/>
        <v>31.544843333333347</v>
      </c>
      <c r="J23" s="456">
        <f t="shared" si="21"/>
        <v>35.512150000000013</v>
      </c>
      <c r="K23" s="457">
        <f t="shared" si="22"/>
        <v>37.009875433526339</v>
      </c>
      <c r="L23" s="458">
        <f>R23*Inflation!$D$4</f>
        <v>106.53645000000004</v>
      </c>
      <c r="M23" s="137">
        <f>S23*Inflation!$D$4</f>
        <v>11.901920000000004</v>
      </c>
      <c r="N23" s="137">
        <f>T23*Inflation!$D$4</f>
        <v>0</v>
      </c>
      <c r="O23" s="137">
        <f>U23*Inflation!$D$4</f>
        <v>94.634530000000041</v>
      </c>
      <c r="P23" s="137">
        <f>V23*Inflation!$D$4</f>
        <v>106.53645000000004</v>
      </c>
      <c r="Q23" s="229">
        <f>AD23*Inflation!$D$4</f>
        <v>111.02962630057903</v>
      </c>
      <c r="R23" s="228">
        <f t="shared" si="23"/>
        <v>104.55000000000005</v>
      </c>
      <c r="S23" s="137">
        <f t="shared" si="24"/>
        <v>11.680000000000005</v>
      </c>
      <c r="T23" s="137">
        <v>0</v>
      </c>
      <c r="U23" s="413">
        <f t="shared" si="25"/>
        <v>92.870000000000047</v>
      </c>
      <c r="V23" s="137">
        <f t="shared" si="26"/>
        <v>104.55000000000005</v>
      </c>
      <c r="W23" s="193">
        <v>0.05</v>
      </c>
      <c r="X23" s="194">
        <v>8</v>
      </c>
      <c r="Y23" s="194">
        <f t="shared" si="27"/>
        <v>2.6666666666666665</v>
      </c>
      <c r="Z23" s="137">
        <f t="shared" si="28"/>
        <v>2.4399722394583159</v>
      </c>
      <c r="AA23" s="137">
        <f t="shared" si="29"/>
        <v>6.4632127594262556</v>
      </c>
      <c r="AB23" s="137">
        <f t="shared" si="30"/>
        <v>0.37751693009018539</v>
      </c>
      <c r="AC23" s="137">
        <f t="shared" si="31"/>
        <v>4.4093977434533675</v>
      </c>
      <c r="AD23" s="229">
        <f t="shared" si="33"/>
        <v>108.95939774345342</v>
      </c>
      <c r="AE23" s="441"/>
      <c r="AF23" s="441"/>
      <c r="AG23" s="222"/>
      <c r="AH23" s="222"/>
      <c r="AI23" s="222"/>
      <c r="AJ23" s="222"/>
      <c r="AK23" s="222"/>
    </row>
    <row r="24" spans="1:37" ht="16.5" x14ac:dyDescent="0.3">
      <c r="A24" s="474" t="s">
        <v>515</v>
      </c>
      <c r="B24" s="475" t="s">
        <v>508</v>
      </c>
      <c r="C24" s="476">
        <v>136.36000000000007</v>
      </c>
      <c r="D24" s="476">
        <v>56.940000000000062</v>
      </c>
      <c r="E24" s="454">
        <v>5</v>
      </c>
      <c r="F24" s="455">
        <f t="shared" si="17"/>
        <v>27.790168000000012</v>
      </c>
      <c r="G24" s="456">
        <f t="shared" si="18"/>
        <v>11.604372000000012</v>
      </c>
      <c r="H24" s="456">
        <f t="shared" si="19"/>
        <v>0</v>
      </c>
      <c r="I24" s="456">
        <f t="shared" si="20"/>
        <v>16.185796000000003</v>
      </c>
      <c r="J24" s="456">
        <f t="shared" si="21"/>
        <v>27.790168000000012</v>
      </c>
      <c r="K24" s="457">
        <f t="shared" si="22"/>
        <v>32.171014893064523</v>
      </c>
      <c r="L24" s="458">
        <f>R24*Inflation!$D$4</f>
        <v>138.95084000000006</v>
      </c>
      <c r="M24" s="137">
        <f>S24*Inflation!$D$4</f>
        <v>58.021860000000061</v>
      </c>
      <c r="N24" s="137">
        <f>T24*Inflation!$D$4</f>
        <v>0</v>
      </c>
      <c r="O24" s="137">
        <f>U24*Inflation!$D$4</f>
        <v>80.92898000000001</v>
      </c>
      <c r="P24" s="137">
        <f>V24*Inflation!$D$4</f>
        <v>138.95084000000006</v>
      </c>
      <c r="Q24" s="229">
        <f>AD24*Inflation!$D$4</f>
        <v>160.85507446532262</v>
      </c>
      <c r="R24" s="228">
        <f t="shared" si="23"/>
        <v>136.36000000000007</v>
      </c>
      <c r="S24" s="137">
        <f t="shared" si="24"/>
        <v>56.940000000000062</v>
      </c>
      <c r="T24" s="137">
        <v>0</v>
      </c>
      <c r="U24" s="413">
        <f t="shared" si="25"/>
        <v>79.420000000000016</v>
      </c>
      <c r="V24" s="137">
        <f t="shared" si="26"/>
        <v>136.36000000000007</v>
      </c>
      <c r="W24" s="193">
        <v>0.05</v>
      </c>
      <c r="X24" s="194">
        <v>8</v>
      </c>
      <c r="Y24" s="194">
        <f t="shared" si="27"/>
        <v>2.6666666666666665</v>
      </c>
      <c r="Z24" s="137">
        <f t="shared" si="28"/>
        <v>2.4399722394583159</v>
      </c>
      <c r="AA24" s="137">
        <f t="shared" si="29"/>
        <v>6.4632127594262556</v>
      </c>
      <c r="AB24" s="137">
        <f t="shared" si="30"/>
        <v>0.37751693009018539</v>
      </c>
      <c r="AC24" s="137">
        <f t="shared" si="31"/>
        <v>21.49581399933518</v>
      </c>
      <c r="AD24" s="229">
        <f t="shared" si="33"/>
        <v>157.85581399933525</v>
      </c>
      <c r="AE24" s="441"/>
      <c r="AF24" s="441"/>
      <c r="AG24" s="222"/>
      <c r="AH24" s="222"/>
      <c r="AI24" s="222"/>
      <c r="AJ24" s="222"/>
      <c r="AK24" s="222"/>
    </row>
    <row r="25" spans="1:37" ht="16.5" x14ac:dyDescent="0.3">
      <c r="A25" s="474" t="s">
        <v>514</v>
      </c>
      <c r="B25" s="475" t="s">
        <v>513</v>
      </c>
      <c r="C25" s="476">
        <v>104.55000000000005</v>
      </c>
      <c r="D25" s="476">
        <v>15.370000000000003</v>
      </c>
      <c r="E25" s="454">
        <v>3</v>
      </c>
      <c r="F25" s="455">
        <f t="shared" si="17"/>
        <v>35.512150000000013</v>
      </c>
      <c r="G25" s="456">
        <f t="shared" si="18"/>
        <v>5.2206766666666669</v>
      </c>
      <c r="H25" s="456">
        <f t="shared" si="19"/>
        <v>0</v>
      </c>
      <c r="I25" s="456">
        <f t="shared" si="20"/>
        <v>30.291473333333347</v>
      </c>
      <c r="J25" s="456">
        <f t="shared" si="21"/>
        <v>35.512150000000013</v>
      </c>
      <c r="K25" s="457">
        <f t="shared" si="22"/>
        <v>37.48304382819348</v>
      </c>
      <c r="L25" s="458">
        <f>R25*Inflation!$D$4</f>
        <v>106.53645000000004</v>
      </c>
      <c r="M25" s="137">
        <f>S25*Inflation!$D$4</f>
        <v>15.662030000000001</v>
      </c>
      <c r="N25" s="137">
        <f>T25*Inflation!$D$4</f>
        <v>0</v>
      </c>
      <c r="O25" s="137">
        <f>U25*Inflation!$D$4</f>
        <v>90.874420000000043</v>
      </c>
      <c r="P25" s="137">
        <f>V25*Inflation!$D$4</f>
        <v>106.53645000000004</v>
      </c>
      <c r="Q25" s="229">
        <f>AD25*Inflation!$D$4</f>
        <v>112.44913148458043</v>
      </c>
      <c r="R25" s="228">
        <f t="shared" si="23"/>
        <v>104.55000000000005</v>
      </c>
      <c r="S25" s="137">
        <f t="shared" si="24"/>
        <v>15.370000000000003</v>
      </c>
      <c r="T25" s="137">
        <v>0</v>
      </c>
      <c r="U25" s="413">
        <f t="shared" si="25"/>
        <v>89.180000000000049</v>
      </c>
      <c r="V25" s="137">
        <f t="shared" si="26"/>
        <v>104.55000000000005</v>
      </c>
      <c r="W25" s="193">
        <v>0.05</v>
      </c>
      <c r="X25" s="194">
        <v>8</v>
      </c>
      <c r="Y25" s="194">
        <f t="shared" si="27"/>
        <v>2.6666666666666665</v>
      </c>
      <c r="Z25" s="137">
        <f t="shared" si="28"/>
        <v>2.4399722394583159</v>
      </c>
      <c r="AA25" s="137">
        <f t="shared" si="29"/>
        <v>6.4632127594262556</v>
      </c>
      <c r="AB25" s="137">
        <f t="shared" si="30"/>
        <v>0.37751693009018539</v>
      </c>
      <c r="AC25" s="137">
        <f t="shared" si="31"/>
        <v>5.8024352154861507</v>
      </c>
      <c r="AD25" s="229">
        <f t="shared" si="33"/>
        <v>110.35243521548621</v>
      </c>
      <c r="AE25" s="441"/>
      <c r="AF25" s="441"/>
      <c r="AG25" s="222"/>
      <c r="AH25" s="222"/>
      <c r="AI25" s="222"/>
      <c r="AJ25" s="222"/>
      <c r="AK25" s="222"/>
    </row>
    <row r="26" spans="1:37" ht="16.5" x14ac:dyDescent="0.3">
      <c r="A26" s="474" t="s">
        <v>512</v>
      </c>
      <c r="B26" s="475" t="s">
        <v>510</v>
      </c>
      <c r="C26" s="476">
        <v>136.36000000000007</v>
      </c>
      <c r="D26" s="476">
        <v>48.764999999999979</v>
      </c>
      <c r="E26" s="454">
        <v>5</v>
      </c>
      <c r="F26" s="455">
        <f t="shared" si="17"/>
        <v>27.790168000000012</v>
      </c>
      <c r="G26" s="456">
        <f t="shared" si="18"/>
        <v>9.9383069999999947</v>
      </c>
      <c r="H26" s="456">
        <f t="shared" si="19"/>
        <v>0</v>
      </c>
      <c r="I26" s="456">
        <f t="shared" si="20"/>
        <v>17.851861000000017</v>
      </c>
      <c r="J26" s="456">
        <f t="shared" si="21"/>
        <v>27.790168000000012</v>
      </c>
      <c r="K26" s="457">
        <f t="shared" si="22"/>
        <v>31.542047148933808</v>
      </c>
      <c r="L26" s="458">
        <f>R26*Inflation!$D$4</f>
        <v>138.95084000000006</v>
      </c>
      <c r="M26" s="137">
        <f>S26*Inflation!$D$4</f>
        <v>49.691534999999973</v>
      </c>
      <c r="N26" s="137">
        <f>T26*Inflation!$D$4</f>
        <v>0</v>
      </c>
      <c r="O26" s="137">
        <f>U26*Inflation!$D$4</f>
        <v>89.259305000000083</v>
      </c>
      <c r="P26" s="137">
        <f>V26*Inflation!$D$4</f>
        <v>138.95084000000006</v>
      </c>
      <c r="Q26" s="229">
        <f>AD26*Inflation!$D$4</f>
        <v>157.71023574466903</v>
      </c>
      <c r="R26" s="228">
        <f t="shared" si="23"/>
        <v>136.36000000000007</v>
      </c>
      <c r="S26" s="137">
        <f t="shared" si="24"/>
        <v>48.764999999999979</v>
      </c>
      <c r="T26" s="137">
        <v>0</v>
      </c>
      <c r="U26" s="413">
        <f t="shared" si="25"/>
        <v>87.595000000000084</v>
      </c>
      <c r="V26" s="137">
        <f t="shared" si="26"/>
        <v>136.36000000000007</v>
      </c>
      <c r="W26" s="193">
        <v>0.05</v>
      </c>
      <c r="X26" s="194">
        <v>8</v>
      </c>
      <c r="Y26" s="194">
        <f t="shared" si="27"/>
        <v>2.6666666666666665</v>
      </c>
      <c r="Z26" s="137">
        <f t="shared" si="28"/>
        <v>2.4399722394583159</v>
      </c>
      <c r="AA26" s="137">
        <f t="shared" si="29"/>
        <v>6.4632127594262556</v>
      </c>
      <c r="AB26" s="137">
        <f t="shared" si="30"/>
        <v>0.37751693009018539</v>
      </c>
      <c r="AC26" s="137">
        <f t="shared" si="31"/>
        <v>18.409613095847881</v>
      </c>
      <c r="AD26" s="229">
        <f t="shared" si="33"/>
        <v>154.76961309584794</v>
      </c>
      <c r="AE26" s="441"/>
      <c r="AF26" s="441"/>
      <c r="AG26" s="222"/>
      <c r="AH26" s="222"/>
      <c r="AI26" s="222"/>
      <c r="AJ26" s="222"/>
      <c r="AK26" s="222"/>
    </row>
    <row r="27" spans="1:37" ht="16.5" x14ac:dyDescent="0.3">
      <c r="A27" s="474" t="s">
        <v>511</v>
      </c>
      <c r="B27" s="475" t="s">
        <v>504</v>
      </c>
      <c r="C27" s="476">
        <v>195.8000000000001</v>
      </c>
      <c r="D27" s="476">
        <v>58.380000000000081</v>
      </c>
      <c r="E27" s="454">
        <v>6</v>
      </c>
      <c r="F27" s="455">
        <f t="shared" si="17"/>
        <v>33.253366666666679</v>
      </c>
      <c r="G27" s="456">
        <f t="shared" si="18"/>
        <v>9.914870000000013</v>
      </c>
      <c r="H27" s="456">
        <f t="shared" si="19"/>
        <v>0</v>
      </c>
      <c r="I27" s="456">
        <f t="shared" si="20"/>
        <v>23.338496666666668</v>
      </c>
      <c r="J27" s="456">
        <f t="shared" si="21"/>
        <v>33.253366666666679</v>
      </c>
      <c r="K27" s="457">
        <f t="shared" si="22"/>
        <v>36.996397951309959</v>
      </c>
      <c r="L27" s="458">
        <f>R27*Inflation!$D$4</f>
        <v>199.52020000000007</v>
      </c>
      <c r="M27" s="137">
        <f>S27*Inflation!$D$4</f>
        <v>59.489220000000074</v>
      </c>
      <c r="N27" s="137">
        <f>T27*Inflation!$D$4</f>
        <v>0</v>
      </c>
      <c r="O27" s="137">
        <f>U27*Inflation!$D$4</f>
        <v>140.03098</v>
      </c>
      <c r="P27" s="137">
        <f>V27*Inflation!$D$4</f>
        <v>199.52020000000007</v>
      </c>
      <c r="Q27" s="229">
        <f>AD27*Inflation!$D$4</f>
        <v>221.97838770785975</v>
      </c>
      <c r="R27" s="228">
        <f t="shared" si="23"/>
        <v>195.8000000000001</v>
      </c>
      <c r="S27" s="137">
        <f t="shared" si="24"/>
        <v>58.380000000000081</v>
      </c>
      <c r="T27" s="137">
        <v>0</v>
      </c>
      <c r="U27" s="413">
        <f t="shared" si="25"/>
        <v>137.42000000000002</v>
      </c>
      <c r="V27" s="137">
        <f t="shared" si="26"/>
        <v>195.8000000000001</v>
      </c>
      <c r="W27" s="193">
        <v>0.05</v>
      </c>
      <c r="X27" s="194">
        <v>8</v>
      </c>
      <c r="Y27" s="194">
        <f t="shared" si="27"/>
        <v>2.6666666666666665</v>
      </c>
      <c r="Z27" s="137">
        <f t="shared" si="28"/>
        <v>2.4399722394583159</v>
      </c>
      <c r="AA27" s="137">
        <f t="shared" si="29"/>
        <v>6.4632127594262556</v>
      </c>
      <c r="AB27" s="137">
        <f t="shared" si="30"/>
        <v>0.37751693009018539</v>
      </c>
      <c r="AC27" s="137">
        <f t="shared" si="31"/>
        <v>22.039438378665054</v>
      </c>
      <c r="AD27" s="229">
        <f t="shared" si="33"/>
        <v>217.83943837866514</v>
      </c>
      <c r="AE27" s="441"/>
      <c r="AF27" s="441"/>
      <c r="AG27" s="222"/>
      <c r="AH27" s="222"/>
      <c r="AI27" s="222"/>
      <c r="AJ27" s="222"/>
      <c r="AK27" s="222"/>
    </row>
    <row r="28" spans="1:37" ht="16.5" x14ac:dyDescent="0.3">
      <c r="A28" s="474" t="s">
        <v>509</v>
      </c>
      <c r="B28" s="475" t="s">
        <v>510</v>
      </c>
      <c r="C28" s="476">
        <v>136.35999999999993</v>
      </c>
      <c r="D28" s="476">
        <v>48.764999999999979</v>
      </c>
      <c r="E28" s="454">
        <v>5</v>
      </c>
      <c r="F28" s="455">
        <f t="shared" si="17"/>
        <v>27.790167999999984</v>
      </c>
      <c r="G28" s="456">
        <f t="shared" si="18"/>
        <v>9.9383069999999947</v>
      </c>
      <c r="H28" s="456">
        <f t="shared" si="19"/>
        <v>0</v>
      </c>
      <c r="I28" s="456">
        <f t="shared" si="20"/>
        <v>17.851860999999985</v>
      </c>
      <c r="J28" s="456">
        <f t="shared" si="21"/>
        <v>27.790167999999984</v>
      </c>
      <c r="K28" s="457">
        <f t="shared" si="22"/>
        <v>31.542047148933779</v>
      </c>
      <c r="L28" s="458">
        <f>R28*Inflation!$D$4</f>
        <v>138.95083999999991</v>
      </c>
      <c r="M28" s="137">
        <f>S28*Inflation!$D$4</f>
        <v>49.691534999999973</v>
      </c>
      <c r="N28" s="137">
        <f>T28*Inflation!$D$4</f>
        <v>0</v>
      </c>
      <c r="O28" s="137">
        <f>U28*Inflation!$D$4</f>
        <v>89.259304999999927</v>
      </c>
      <c r="P28" s="137">
        <f>V28*Inflation!$D$4</f>
        <v>138.95083999999991</v>
      </c>
      <c r="Q28" s="229">
        <f>AD28*Inflation!$D$4</f>
        <v>157.71023574466889</v>
      </c>
      <c r="R28" s="228">
        <f t="shared" si="23"/>
        <v>136.35999999999993</v>
      </c>
      <c r="S28" s="137">
        <f t="shared" si="24"/>
        <v>48.764999999999979</v>
      </c>
      <c r="T28" s="137">
        <v>0</v>
      </c>
      <c r="U28" s="413">
        <f t="shared" si="25"/>
        <v>87.594999999999942</v>
      </c>
      <c r="V28" s="137">
        <f t="shared" si="26"/>
        <v>136.35999999999993</v>
      </c>
      <c r="W28" s="193">
        <v>0.05</v>
      </c>
      <c r="X28" s="194">
        <v>8</v>
      </c>
      <c r="Y28" s="194">
        <f t="shared" si="27"/>
        <v>2.6666666666666665</v>
      </c>
      <c r="Z28" s="137">
        <f t="shared" si="28"/>
        <v>2.4399722394583159</v>
      </c>
      <c r="AA28" s="137">
        <f t="shared" si="29"/>
        <v>6.4632127594262556</v>
      </c>
      <c r="AB28" s="137">
        <f t="shared" si="30"/>
        <v>0.37751693009018539</v>
      </c>
      <c r="AC28" s="137">
        <f t="shared" si="31"/>
        <v>18.409613095847881</v>
      </c>
      <c r="AD28" s="229">
        <f t="shared" si="33"/>
        <v>154.7696130958478</v>
      </c>
      <c r="AE28" s="441"/>
      <c r="AF28" s="441"/>
      <c r="AG28" s="222"/>
      <c r="AH28" s="222"/>
      <c r="AI28" s="222"/>
      <c r="AJ28" s="222"/>
      <c r="AK28" s="222"/>
    </row>
    <row r="29" spans="1:37" ht="16.5" x14ac:dyDescent="0.3">
      <c r="A29" s="474" t="s">
        <v>509</v>
      </c>
      <c r="B29" s="475" t="s">
        <v>508</v>
      </c>
      <c r="C29" s="476">
        <v>136.35999999999993</v>
      </c>
      <c r="D29" s="476">
        <v>56.940000000000062</v>
      </c>
      <c r="E29" s="454">
        <v>5</v>
      </c>
      <c r="F29" s="455">
        <f t="shared" si="17"/>
        <v>27.790167999999984</v>
      </c>
      <c r="G29" s="456">
        <f t="shared" si="18"/>
        <v>11.604372000000012</v>
      </c>
      <c r="H29" s="456">
        <f t="shared" si="19"/>
        <v>0</v>
      </c>
      <c r="I29" s="456">
        <f t="shared" si="20"/>
        <v>16.185795999999975</v>
      </c>
      <c r="J29" s="456">
        <f t="shared" si="21"/>
        <v>27.790167999999984</v>
      </c>
      <c r="K29" s="457">
        <f t="shared" si="22"/>
        <v>32.171014893064495</v>
      </c>
      <c r="L29" s="458">
        <f>R29*Inflation!$D$4</f>
        <v>138.95083999999991</v>
      </c>
      <c r="M29" s="137">
        <f>S29*Inflation!$D$4</f>
        <v>58.021860000000061</v>
      </c>
      <c r="N29" s="137">
        <f>T29*Inflation!$D$4</f>
        <v>0</v>
      </c>
      <c r="O29" s="137">
        <f>U29*Inflation!$D$4</f>
        <v>80.928979999999868</v>
      </c>
      <c r="P29" s="137">
        <f>V29*Inflation!$D$4</f>
        <v>138.95083999999991</v>
      </c>
      <c r="Q29" s="229">
        <f>AD29*Inflation!$D$4</f>
        <v>160.85507446532247</v>
      </c>
      <c r="R29" s="228">
        <f t="shared" si="23"/>
        <v>136.35999999999993</v>
      </c>
      <c r="S29" s="137">
        <f t="shared" si="24"/>
        <v>56.940000000000062</v>
      </c>
      <c r="T29" s="137">
        <v>0</v>
      </c>
      <c r="U29" s="413">
        <f t="shared" si="25"/>
        <v>79.419999999999874</v>
      </c>
      <c r="V29" s="137">
        <f t="shared" si="26"/>
        <v>136.35999999999993</v>
      </c>
      <c r="W29" s="193">
        <v>0.05</v>
      </c>
      <c r="X29" s="194">
        <v>8</v>
      </c>
      <c r="Y29" s="194">
        <f t="shared" si="27"/>
        <v>2.6666666666666665</v>
      </c>
      <c r="Z29" s="137">
        <f t="shared" si="28"/>
        <v>2.4399722394583159</v>
      </c>
      <c r="AA29" s="137">
        <f t="shared" si="29"/>
        <v>6.4632127594262556</v>
      </c>
      <c r="AB29" s="137">
        <f t="shared" si="30"/>
        <v>0.37751693009018539</v>
      </c>
      <c r="AC29" s="137">
        <f t="shared" si="31"/>
        <v>21.49581399933518</v>
      </c>
      <c r="AD29" s="229">
        <f t="shared" si="33"/>
        <v>157.85581399933511</v>
      </c>
      <c r="AE29" s="441"/>
      <c r="AF29" s="441"/>
      <c r="AG29" s="222"/>
      <c r="AH29" s="222"/>
      <c r="AI29" s="222"/>
      <c r="AJ29" s="222"/>
      <c r="AK29" s="222"/>
    </row>
    <row r="30" spans="1:37" ht="16.5" x14ac:dyDescent="0.3">
      <c r="A30" s="474" t="s">
        <v>507</v>
      </c>
      <c r="B30" s="475" t="s">
        <v>506</v>
      </c>
      <c r="C30" s="476">
        <v>118.19000000000004</v>
      </c>
      <c r="D30" s="476">
        <v>31.77999999999998</v>
      </c>
      <c r="E30" s="454">
        <v>4</v>
      </c>
      <c r="F30" s="455">
        <f t="shared" si="17"/>
        <v>30.108902500000006</v>
      </c>
      <c r="G30" s="456">
        <f t="shared" si="18"/>
        <v>8.0959549999999947</v>
      </c>
      <c r="H30" s="456">
        <f t="shared" si="19"/>
        <v>0</v>
      </c>
      <c r="I30" s="456">
        <f t="shared" si="20"/>
        <v>22.01294750000001</v>
      </c>
      <c r="J30" s="456">
        <f t="shared" si="21"/>
        <v>30.108902500000006</v>
      </c>
      <c r="K30" s="457">
        <f t="shared" si="22"/>
        <v>33.165262577748287</v>
      </c>
      <c r="L30" s="458">
        <f>R30*Inflation!$D$4</f>
        <v>120.43561000000003</v>
      </c>
      <c r="M30" s="137">
        <f>S30*Inflation!$D$4</f>
        <v>32.383819999999979</v>
      </c>
      <c r="N30" s="137">
        <f>T30*Inflation!$D$4</f>
        <v>0</v>
      </c>
      <c r="O30" s="137">
        <f>U30*Inflation!$D$4</f>
        <v>88.05179000000004</v>
      </c>
      <c r="P30" s="137">
        <f>V30*Inflation!$D$4</f>
        <v>120.43561000000003</v>
      </c>
      <c r="Q30" s="229">
        <f>AD30*Inflation!$D$4</f>
        <v>132.66105031099315</v>
      </c>
      <c r="R30" s="228">
        <f t="shared" si="23"/>
        <v>118.19000000000004</v>
      </c>
      <c r="S30" s="137">
        <f t="shared" si="24"/>
        <v>31.77999999999998</v>
      </c>
      <c r="T30" s="137">
        <v>0</v>
      </c>
      <c r="U30" s="413">
        <f t="shared" si="25"/>
        <v>86.410000000000053</v>
      </c>
      <c r="V30" s="137">
        <f t="shared" si="26"/>
        <v>118.19000000000004</v>
      </c>
      <c r="W30" s="193">
        <v>0.05</v>
      </c>
      <c r="X30" s="194">
        <v>8</v>
      </c>
      <c r="Y30" s="194">
        <f t="shared" si="27"/>
        <v>2.6666666666666665</v>
      </c>
      <c r="Z30" s="137">
        <f t="shared" si="28"/>
        <v>2.4399722394583159</v>
      </c>
      <c r="AA30" s="137">
        <f t="shared" si="29"/>
        <v>6.4632127594262556</v>
      </c>
      <c r="AB30" s="137">
        <f t="shared" si="30"/>
        <v>0.37751693009018539</v>
      </c>
      <c r="AC30" s="137">
        <f t="shared" si="31"/>
        <v>11.997488038266084</v>
      </c>
      <c r="AD30" s="229">
        <f t="shared" si="33"/>
        <v>130.18748803826611</v>
      </c>
      <c r="AE30" s="441"/>
      <c r="AF30" s="441"/>
      <c r="AG30" s="222"/>
      <c r="AH30" s="222"/>
      <c r="AI30" s="222"/>
      <c r="AJ30" s="222"/>
      <c r="AK30" s="222"/>
    </row>
    <row r="31" spans="1:37" ht="16.5" x14ac:dyDescent="0.3">
      <c r="A31" s="474" t="s">
        <v>505</v>
      </c>
      <c r="B31" s="475" t="s">
        <v>504</v>
      </c>
      <c r="C31" s="476">
        <v>195.8000000000001</v>
      </c>
      <c r="D31" s="476">
        <v>58.380000000000081</v>
      </c>
      <c r="E31" s="454">
        <v>6</v>
      </c>
      <c r="F31" s="455">
        <f t="shared" si="17"/>
        <v>33.253366666666679</v>
      </c>
      <c r="G31" s="456">
        <f t="shared" si="18"/>
        <v>9.914870000000013</v>
      </c>
      <c r="H31" s="456">
        <f t="shared" si="19"/>
        <v>0</v>
      </c>
      <c r="I31" s="456">
        <f t="shared" si="20"/>
        <v>23.338496666666668</v>
      </c>
      <c r="J31" s="456">
        <f t="shared" si="21"/>
        <v>33.253366666666679</v>
      </c>
      <c r="K31" s="457">
        <f t="shared" si="22"/>
        <v>36.996397951309959</v>
      </c>
      <c r="L31" s="458">
        <f>R31*Inflation!$D$4</f>
        <v>199.52020000000007</v>
      </c>
      <c r="M31" s="137">
        <f>S31*Inflation!$D$4</f>
        <v>59.489220000000074</v>
      </c>
      <c r="N31" s="137">
        <f>T31*Inflation!$D$4</f>
        <v>0</v>
      </c>
      <c r="O31" s="137">
        <f>U31*Inflation!$D$4</f>
        <v>140.03098</v>
      </c>
      <c r="P31" s="137">
        <f>V31*Inflation!$D$4</f>
        <v>199.52020000000007</v>
      </c>
      <c r="Q31" s="229">
        <f>AD31*Inflation!$D$4</f>
        <v>221.97838770785975</v>
      </c>
      <c r="R31" s="228">
        <f t="shared" si="23"/>
        <v>195.8000000000001</v>
      </c>
      <c r="S31" s="137">
        <f t="shared" si="24"/>
        <v>58.380000000000081</v>
      </c>
      <c r="T31" s="137">
        <v>0</v>
      </c>
      <c r="U31" s="413">
        <f t="shared" si="25"/>
        <v>137.42000000000002</v>
      </c>
      <c r="V31" s="137">
        <f t="shared" si="26"/>
        <v>195.8000000000001</v>
      </c>
      <c r="W31" s="193">
        <v>0.05</v>
      </c>
      <c r="X31" s="194">
        <v>8</v>
      </c>
      <c r="Y31" s="194">
        <f t="shared" si="27"/>
        <v>2.6666666666666665</v>
      </c>
      <c r="Z31" s="137">
        <f t="shared" si="28"/>
        <v>2.4399722394583159</v>
      </c>
      <c r="AA31" s="137">
        <f t="shared" si="29"/>
        <v>6.4632127594262556</v>
      </c>
      <c r="AB31" s="137">
        <f t="shared" si="30"/>
        <v>0.37751693009018539</v>
      </c>
      <c r="AC31" s="137">
        <f t="shared" si="31"/>
        <v>22.039438378665054</v>
      </c>
      <c r="AD31" s="229">
        <f t="shared" si="33"/>
        <v>217.83943837866514</v>
      </c>
      <c r="AE31" s="441"/>
      <c r="AF31" s="441"/>
      <c r="AG31" s="222"/>
      <c r="AH31" s="222"/>
      <c r="AI31" s="222"/>
      <c r="AJ31" s="222"/>
      <c r="AK31" s="222"/>
    </row>
    <row r="32" spans="1:37" ht="17.25" thickBot="1" x14ac:dyDescent="0.35">
      <c r="A32" s="477" t="s">
        <v>503</v>
      </c>
      <c r="B32" s="478" t="s">
        <v>502</v>
      </c>
      <c r="C32" s="479">
        <v>118.18999999999984</v>
      </c>
      <c r="D32" s="479">
        <v>29.05999999999996</v>
      </c>
      <c r="E32" s="462">
        <v>4</v>
      </c>
      <c r="F32" s="463">
        <f t="shared" si="17"/>
        <v>30.108902499999957</v>
      </c>
      <c r="G32" s="464">
        <f t="shared" si="18"/>
        <v>7.4030349999999894</v>
      </c>
      <c r="H32" s="464">
        <f t="shared" si="19"/>
        <v>0</v>
      </c>
      <c r="I32" s="464">
        <f t="shared" si="20"/>
        <v>22.705867499999968</v>
      </c>
      <c r="J32" s="464">
        <f t="shared" si="21"/>
        <v>30.108902499999957</v>
      </c>
      <c r="K32" s="465">
        <f t="shared" si="22"/>
        <v>32.903673546550152</v>
      </c>
      <c r="L32" s="466">
        <f>R32*Inflation!$D$4</f>
        <v>120.43560999999983</v>
      </c>
      <c r="M32" s="467">
        <f>S32*Inflation!$D$4</f>
        <v>29.612139999999957</v>
      </c>
      <c r="N32" s="467">
        <f>T32*Inflation!$D$4</f>
        <v>0</v>
      </c>
      <c r="O32" s="467">
        <f>U32*Inflation!$D$4</f>
        <v>90.823469999999872</v>
      </c>
      <c r="P32" s="467">
        <f>V32*Inflation!$D$4</f>
        <v>120.43560999999983</v>
      </c>
      <c r="Q32" s="468">
        <f>AD32*Inflation!$D$4</f>
        <v>131.61469418620061</v>
      </c>
      <c r="R32" s="228">
        <f t="shared" si="23"/>
        <v>118.18999999999984</v>
      </c>
      <c r="S32" s="137">
        <f t="shared" si="24"/>
        <v>29.05999999999996</v>
      </c>
      <c r="T32" s="137">
        <v>0</v>
      </c>
      <c r="U32" s="413">
        <f t="shared" si="25"/>
        <v>89.129999999999882</v>
      </c>
      <c r="V32" s="137">
        <f t="shared" si="26"/>
        <v>118.18999999999984</v>
      </c>
      <c r="W32" s="193">
        <v>0.05</v>
      </c>
      <c r="X32" s="194">
        <v>8</v>
      </c>
      <c r="Y32" s="194">
        <f t="shared" si="27"/>
        <v>2.6666666666666665</v>
      </c>
      <c r="Z32" s="137">
        <f t="shared" si="28"/>
        <v>2.4399722394583159</v>
      </c>
      <c r="AA32" s="137">
        <f t="shared" si="29"/>
        <v>6.4632127594262556</v>
      </c>
      <c r="AB32" s="137">
        <f t="shared" si="30"/>
        <v>0.37751693009018539</v>
      </c>
      <c r="AC32" s="137">
        <f t="shared" si="31"/>
        <v>10.970641988420772</v>
      </c>
      <c r="AD32" s="229">
        <f t="shared" si="33"/>
        <v>129.16064198842062</v>
      </c>
      <c r="AE32" s="441"/>
      <c r="AF32" s="441"/>
      <c r="AG32" s="222"/>
      <c r="AH32" s="222"/>
      <c r="AI32" s="222"/>
      <c r="AJ32" s="222"/>
      <c r="AK32" s="222"/>
    </row>
    <row r="33" spans="1:37" ht="15.75" x14ac:dyDescent="0.25">
      <c r="A33" s="242" t="s">
        <v>24</v>
      </c>
      <c r="B33" s="221" t="s">
        <v>951</v>
      </c>
      <c r="C33" s="243"/>
      <c r="D33" s="243"/>
      <c r="E33" s="243"/>
      <c r="F33" s="243"/>
      <c r="G33" s="243"/>
      <c r="H33" s="14"/>
      <c r="I33" s="14"/>
      <c r="J33" s="14"/>
      <c r="K33" s="14"/>
      <c r="L33" s="243"/>
      <c r="M33" s="243"/>
      <c r="N33" s="243"/>
      <c r="O33" s="243"/>
      <c r="P33" s="243"/>
      <c r="Q33" s="243"/>
      <c r="R33" s="243"/>
      <c r="S33" s="243"/>
      <c r="T33" s="243"/>
      <c r="U33" s="243"/>
      <c r="V33" s="243"/>
      <c r="W33" s="243"/>
      <c r="X33" s="243"/>
      <c r="Y33" s="243"/>
      <c r="Z33" s="243"/>
      <c r="AA33" s="243"/>
      <c r="AB33" s="243"/>
      <c r="AC33" s="243"/>
      <c r="AD33" s="480"/>
      <c r="AE33" s="222"/>
      <c r="AF33" s="222"/>
      <c r="AG33" s="222"/>
      <c r="AH33" s="222"/>
      <c r="AI33" s="222"/>
      <c r="AJ33" s="222"/>
      <c r="AK33" s="222"/>
    </row>
    <row r="34" spans="1:37" ht="16.5" thickBot="1" x14ac:dyDescent="0.3">
      <c r="A34" s="245" t="s">
        <v>957</v>
      </c>
      <c r="B34" s="233" t="s">
        <v>611</v>
      </c>
      <c r="C34" s="246"/>
      <c r="D34" s="246"/>
      <c r="E34" s="246"/>
      <c r="F34" s="481"/>
      <c r="G34" s="481"/>
      <c r="H34" s="246"/>
      <c r="I34" s="246"/>
      <c r="J34" s="246"/>
      <c r="K34" s="246"/>
      <c r="L34" s="482"/>
      <c r="M34" s="482"/>
      <c r="N34" s="482"/>
      <c r="O34" s="482"/>
      <c r="P34" s="482"/>
      <c r="Q34" s="482"/>
      <c r="R34" s="482"/>
      <c r="S34" s="482"/>
      <c r="T34" s="482"/>
      <c r="U34" s="482"/>
      <c r="V34" s="482"/>
      <c r="W34" s="482"/>
      <c r="X34" s="482"/>
      <c r="Y34" s="482"/>
      <c r="Z34" s="482"/>
      <c r="AA34" s="482"/>
      <c r="AB34" s="482"/>
      <c r="AC34" s="482"/>
      <c r="AD34" s="483"/>
      <c r="AE34" s="222"/>
      <c r="AF34" s="222"/>
      <c r="AG34" s="222"/>
      <c r="AH34" s="222"/>
      <c r="AI34" s="222"/>
      <c r="AJ34" s="222"/>
      <c r="AK34" s="222"/>
    </row>
    <row r="35" spans="1:37" ht="15.75" x14ac:dyDescent="0.25">
      <c r="A35" s="248"/>
      <c r="B35" s="249"/>
      <c r="C35" s="14"/>
      <c r="D35" s="14"/>
      <c r="E35" s="14"/>
      <c r="F35" s="484"/>
      <c r="G35" s="484"/>
      <c r="H35" s="14"/>
      <c r="I35" s="14"/>
      <c r="J35" s="14"/>
      <c r="K35" s="14"/>
      <c r="L35" s="243"/>
      <c r="M35" s="243"/>
      <c r="N35" s="243"/>
      <c r="O35" s="243"/>
      <c r="P35" s="243"/>
      <c r="Q35" s="243"/>
      <c r="R35" s="243"/>
      <c r="S35" s="243"/>
      <c r="T35" s="243"/>
      <c r="U35" s="243"/>
      <c r="V35" s="243"/>
      <c r="W35" s="243"/>
      <c r="X35" s="243"/>
      <c r="Y35" s="243"/>
      <c r="Z35" s="243"/>
      <c r="AA35" s="243"/>
      <c r="AB35" s="243"/>
      <c r="AC35" s="243"/>
      <c r="AD35" s="243"/>
      <c r="AE35" s="222"/>
      <c r="AF35" s="222"/>
      <c r="AG35" s="222"/>
      <c r="AH35" s="222"/>
      <c r="AI35" s="222"/>
      <c r="AJ35" s="222"/>
      <c r="AK35" s="222"/>
    </row>
    <row r="36" spans="1:37" ht="12.75" x14ac:dyDescent="0.2">
      <c r="T36" s="244"/>
      <c r="U36" s="244"/>
      <c r="V36" s="244"/>
      <c r="W36" s="244"/>
      <c r="X36" s="244"/>
      <c r="Y36" s="244"/>
      <c r="Z36" s="244"/>
      <c r="AA36" s="244"/>
      <c r="AB36" s="244"/>
      <c r="AC36" s="244"/>
      <c r="AD36" s="244"/>
    </row>
    <row r="37" spans="1:37" ht="15.75" x14ac:dyDescent="0.25">
      <c r="A37" s="248"/>
      <c r="B37" s="249"/>
      <c r="C37" s="14"/>
      <c r="D37" s="14"/>
      <c r="E37" s="5"/>
      <c r="F37" s="104"/>
      <c r="G37" s="104"/>
      <c r="H37" s="5"/>
      <c r="I37" s="5"/>
      <c r="J37" s="5"/>
      <c r="K37" s="5"/>
      <c r="L37" s="244"/>
      <c r="M37" s="244"/>
      <c r="N37" s="244"/>
      <c r="O37" s="244"/>
      <c r="P37" s="244"/>
      <c r="Q37" s="244"/>
      <c r="R37" s="244"/>
      <c r="S37" s="244"/>
      <c r="T37" s="244"/>
      <c r="U37" s="244"/>
      <c r="V37" s="244"/>
      <c r="W37" s="244"/>
      <c r="X37" s="244"/>
      <c r="Y37" s="244"/>
      <c r="Z37" s="244"/>
      <c r="AA37" s="244"/>
      <c r="AB37" s="244"/>
      <c r="AC37" s="244"/>
      <c r="AD37" s="244"/>
    </row>
    <row r="38" spans="1:37" ht="15.75" x14ac:dyDescent="0.25">
      <c r="A38" s="248"/>
      <c r="B38" s="249"/>
      <c r="C38" s="14"/>
      <c r="D38" s="14"/>
      <c r="E38" s="5"/>
      <c r="F38" s="104"/>
      <c r="G38" s="104"/>
      <c r="H38" s="5"/>
      <c r="I38" s="5"/>
      <c r="J38" s="5"/>
      <c r="K38" s="5"/>
      <c r="L38" s="244"/>
      <c r="M38" s="244"/>
      <c r="N38" s="244"/>
      <c r="O38" s="244"/>
      <c r="P38" s="244"/>
      <c r="Q38" s="244"/>
      <c r="R38" s="244"/>
      <c r="S38" s="244"/>
      <c r="T38" s="244"/>
      <c r="U38" s="244"/>
      <c r="V38" s="244"/>
      <c r="W38" s="244"/>
      <c r="X38" s="244"/>
      <c r="Y38" s="244"/>
      <c r="Z38" s="244"/>
      <c r="AA38" s="244"/>
      <c r="AB38" s="244"/>
      <c r="AC38" s="244"/>
      <c r="AD38" s="244"/>
    </row>
    <row r="39" spans="1:37" ht="15" x14ac:dyDescent="0.25">
      <c r="B39"/>
      <c r="C39"/>
      <c r="D39"/>
      <c r="E39"/>
      <c r="F39" s="104"/>
      <c r="G39" s="104"/>
      <c r="H39" s="104"/>
      <c r="I39" s="104"/>
      <c r="J39" s="104"/>
      <c r="K39" s="104"/>
    </row>
    <row r="40" spans="1:37" ht="15" x14ac:dyDescent="0.25">
      <c r="A40" s="3" t="s">
        <v>28</v>
      </c>
      <c r="B40"/>
      <c r="C40"/>
      <c r="D40"/>
      <c r="E40"/>
      <c r="F40" s="104"/>
      <c r="G40" s="104"/>
      <c r="H40" s="104"/>
      <c r="I40" s="104"/>
      <c r="J40" s="104"/>
      <c r="K40" s="104"/>
    </row>
    <row r="41" spans="1:37" ht="15" x14ac:dyDescent="0.25">
      <c r="B41"/>
      <c r="C41"/>
      <c r="D41"/>
      <c r="E41"/>
      <c r="F41" s="104"/>
      <c r="G41" s="104"/>
      <c r="H41" s="104"/>
      <c r="I41" s="104"/>
      <c r="J41" s="104"/>
      <c r="K41" s="104"/>
    </row>
    <row r="43" spans="1:37" ht="16.5" x14ac:dyDescent="0.3">
      <c r="R43" s="195"/>
      <c r="S43" s="195"/>
      <c r="T43" s="195"/>
      <c r="U43" s="195"/>
      <c r="V43" s="195"/>
      <c r="W43" s="195"/>
    </row>
  </sheetData>
  <mergeCells count="13">
    <mergeCell ref="A2:F2"/>
    <mergeCell ref="G2:L2"/>
    <mergeCell ref="W16:AD16"/>
    <mergeCell ref="C7:D7"/>
    <mergeCell ref="E7:E8"/>
    <mergeCell ref="L7:Q7"/>
    <mergeCell ref="R7:V7"/>
    <mergeCell ref="W7:AD7"/>
    <mergeCell ref="F7:K7"/>
    <mergeCell ref="C16:D16"/>
    <mergeCell ref="E16:E17"/>
    <mergeCell ref="L16:Q16"/>
    <mergeCell ref="R16:V16"/>
  </mergeCells>
  <hyperlinks>
    <hyperlink ref="A40" location="TRM_MCS_measures!A1" display="Return To TRM_MCS_Measur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D110"/>
  <sheetViews>
    <sheetView topLeftCell="D19" zoomScale="70" zoomScaleNormal="70" workbookViewId="0">
      <selection activeCell="K39" sqref="K39"/>
    </sheetView>
  </sheetViews>
  <sheetFormatPr defaultRowHeight="14.4" x14ac:dyDescent="0.3"/>
  <cols>
    <col min="1" max="1" width="15.5546875" customWidth="1"/>
    <col min="2" max="2" width="63.88671875" bestFit="1" customWidth="1"/>
    <col min="3" max="3" width="41.88671875" bestFit="1" customWidth="1"/>
    <col min="4" max="4" width="20" bestFit="1" customWidth="1"/>
    <col min="5" max="5" width="17.33203125" bestFit="1" customWidth="1"/>
    <col min="6" max="6" width="14.5546875" bestFit="1" customWidth="1"/>
    <col min="7" max="7" width="17.109375" bestFit="1" customWidth="1"/>
    <col min="8" max="8" width="12.33203125" bestFit="1" customWidth="1"/>
    <col min="9" max="9" width="23" style="43" bestFit="1" customWidth="1"/>
    <col min="10" max="10" width="21.44140625" style="43" bestFit="1" customWidth="1"/>
    <col min="11" max="11" width="13.88671875" style="43" bestFit="1" customWidth="1"/>
    <col min="12" max="12" width="22.44140625" style="43" bestFit="1" customWidth="1"/>
    <col min="13" max="13" width="24.44140625" style="43" bestFit="1" customWidth="1"/>
    <col min="14" max="14" width="27.88671875" style="43" bestFit="1" customWidth="1"/>
    <col min="15" max="15" width="14.88671875" style="43" customWidth="1"/>
    <col min="16" max="16" width="17.5546875" style="43" customWidth="1"/>
    <col min="17" max="17" width="15.44140625" style="43" bestFit="1" customWidth="1"/>
    <col min="18" max="18" width="22.44140625" style="43" bestFit="1" customWidth="1"/>
    <col min="19" max="19" width="24.44140625" style="43" bestFit="1" customWidth="1"/>
    <col min="20" max="20" width="23" style="43" bestFit="1" customWidth="1"/>
    <col min="21" max="21" width="21.5546875" style="43" bestFit="1" customWidth="1"/>
    <col min="22" max="22" width="6.5546875" bestFit="1" customWidth="1"/>
    <col min="23" max="24" width="21" bestFit="1" customWidth="1"/>
    <col min="25" max="25" width="9.5546875" bestFit="1" customWidth="1"/>
    <col min="26" max="26" width="29.5546875" bestFit="1" customWidth="1"/>
    <col min="27" max="27" width="20.5546875" bestFit="1" customWidth="1"/>
  </cols>
  <sheetData>
    <row r="1" spans="1:21" s="69" customFormat="1" ht="55.2" x14ac:dyDescent="0.45">
      <c r="A1" s="688" t="s">
        <v>1003</v>
      </c>
      <c r="B1" s="689"/>
      <c r="C1" s="688" t="s">
        <v>170</v>
      </c>
      <c r="D1" s="689"/>
      <c r="E1" s="688" t="s">
        <v>29</v>
      </c>
      <c r="F1" s="690"/>
      <c r="G1" s="690"/>
      <c r="H1" s="689"/>
      <c r="I1" s="173" t="s">
        <v>919</v>
      </c>
      <c r="J1" s="173" t="s">
        <v>32</v>
      </c>
      <c r="K1" s="173" t="s">
        <v>920</v>
      </c>
      <c r="L1" s="173" t="s">
        <v>904</v>
      </c>
      <c r="M1" s="173" t="s">
        <v>905</v>
      </c>
      <c r="N1" s="173" t="s">
        <v>906</v>
      </c>
      <c r="O1" s="43"/>
      <c r="P1" s="43"/>
      <c r="Q1" s="43"/>
      <c r="R1" s="43"/>
      <c r="S1" s="43"/>
      <c r="T1" s="43"/>
      <c r="U1" s="43"/>
    </row>
    <row r="2" spans="1:21" s="69" customFormat="1" ht="15.6" x14ac:dyDescent="0.3">
      <c r="A2" s="691" t="s">
        <v>245</v>
      </c>
      <c r="B2" s="693"/>
      <c r="C2" s="691" t="s">
        <v>1009</v>
      </c>
      <c r="D2" s="693"/>
      <c r="E2" s="691" t="s">
        <v>1004</v>
      </c>
      <c r="F2" s="692"/>
      <c r="G2" s="692"/>
      <c r="H2" s="693"/>
      <c r="I2" s="555">
        <f>AVERAGE(I24:I27, I31:I34, I39:I43, I47:I51)</f>
        <v>637.04772611111116</v>
      </c>
      <c r="J2" s="555">
        <f t="shared" ref="J2:N2" si="0">AVERAGE(J24:J27, J31:J34, J39:J43, J47:J51)</f>
        <v>418.91504166666664</v>
      </c>
      <c r="K2" s="555">
        <f>AVERAGE(K24:K27, K31:K34, K39:K43, K47:K51)</f>
        <v>89.721827595910725</v>
      </c>
      <c r="L2" s="555">
        <f t="shared" si="0"/>
        <v>218.13268444444441</v>
      </c>
      <c r="M2" s="555">
        <f t="shared" si="0"/>
        <v>726.76955370702171</v>
      </c>
      <c r="N2" s="555">
        <f t="shared" si="0"/>
        <v>412.91472365553568</v>
      </c>
      <c r="O2" s="43"/>
      <c r="P2" s="43"/>
      <c r="Q2" s="43"/>
      <c r="R2" s="43"/>
      <c r="S2" s="43"/>
      <c r="T2" s="43"/>
      <c r="U2" s="43"/>
    </row>
    <row r="3" spans="1:21" s="69" customFormat="1" ht="15.6" x14ac:dyDescent="0.3">
      <c r="A3" s="691" t="s">
        <v>245</v>
      </c>
      <c r="B3" s="693"/>
      <c r="C3" s="691" t="s">
        <v>1010</v>
      </c>
      <c r="D3" s="693"/>
      <c r="E3" s="691" t="s">
        <v>1005</v>
      </c>
      <c r="F3" s="692"/>
      <c r="G3" s="692"/>
      <c r="H3" s="693"/>
      <c r="I3" s="555">
        <f>AVERAGE(I21:I23, I28:I30, I44:I46, I52)</f>
        <v>1286.4879999999998</v>
      </c>
      <c r="J3" s="555">
        <f t="shared" ref="J3:N3" si="1">AVERAGE(J21:J23, J28:J30, J44:J46, J52)</f>
        <v>546.13699999999994</v>
      </c>
      <c r="K3" s="555">
        <f t="shared" si="1"/>
        <v>103.24025932677588</v>
      </c>
      <c r="L3" s="555">
        <f t="shared" si="1"/>
        <v>740.35100000000011</v>
      </c>
      <c r="M3" s="555">
        <f t="shared" si="1"/>
        <v>1389.728259326776</v>
      </c>
      <c r="N3" s="555">
        <f t="shared" si="1"/>
        <v>996.35858337044647</v>
      </c>
      <c r="O3" s="43"/>
      <c r="P3" s="43"/>
      <c r="Q3" s="43"/>
      <c r="R3" s="43"/>
      <c r="S3" s="43"/>
      <c r="T3" s="43"/>
      <c r="U3" s="43"/>
    </row>
    <row r="4" spans="1:21" s="69" customFormat="1" ht="15.6" x14ac:dyDescent="0.3">
      <c r="A4" s="691" t="s">
        <v>823</v>
      </c>
      <c r="B4" s="693"/>
      <c r="C4" s="691" t="s">
        <v>1009</v>
      </c>
      <c r="D4" s="693"/>
      <c r="E4" s="691" t="s">
        <v>1006</v>
      </c>
      <c r="F4" s="692"/>
      <c r="G4" s="692"/>
      <c r="H4" s="693"/>
      <c r="I4" s="555">
        <f>AVERAGE(I17:I20)</f>
        <v>938.42750000000001</v>
      </c>
      <c r="J4" s="555">
        <f t="shared" ref="J4:N4" si="2">AVERAGE(J17:J20)</f>
        <v>317.04500000000002</v>
      </c>
      <c r="K4" s="555">
        <f t="shared" si="2"/>
        <v>138.00194092042932</v>
      </c>
      <c r="L4" s="555">
        <f t="shared" si="2"/>
        <v>621.38249999999994</v>
      </c>
      <c r="M4" s="555">
        <f t="shared" si="2"/>
        <v>1076.4294409204292</v>
      </c>
      <c r="N4" s="555">
        <f t="shared" si="2"/>
        <v>803.43464020312274</v>
      </c>
      <c r="O4" s="43"/>
      <c r="P4" s="43"/>
      <c r="Q4" s="43"/>
      <c r="R4" s="43"/>
      <c r="S4" s="43"/>
      <c r="T4" s="43"/>
      <c r="U4" s="43"/>
    </row>
    <row r="5" spans="1:21" s="69" customFormat="1" ht="15.6" x14ac:dyDescent="0.3">
      <c r="A5" s="691" t="s">
        <v>823</v>
      </c>
      <c r="B5" s="693"/>
      <c r="C5" s="691" t="s">
        <v>1010</v>
      </c>
      <c r="D5" s="693"/>
      <c r="E5" s="691" t="s">
        <v>1007</v>
      </c>
      <c r="F5" s="692"/>
      <c r="G5" s="692"/>
      <c r="H5" s="693"/>
      <c r="I5" s="555">
        <f>AVERAGE(I14:I16)</f>
        <v>1693.89</v>
      </c>
      <c r="J5" s="555">
        <f t="shared" ref="J5:N5" si="3">AVERAGE(J14:J16)</f>
        <v>389.09333333333331</v>
      </c>
      <c r="K5" s="555">
        <f t="shared" si="3"/>
        <v>138.00194092042932</v>
      </c>
      <c r="L5" s="555">
        <f t="shared" si="3"/>
        <v>1304.7966666666669</v>
      </c>
      <c r="M5" s="555">
        <f t="shared" si="3"/>
        <v>1831.8919409204293</v>
      </c>
      <c r="N5" s="555">
        <f t="shared" si="3"/>
        <v>1515.6734227541867</v>
      </c>
      <c r="O5" s="43"/>
      <c r="P5" s="43"/>
      <c r="Q5" s="43"/>
      <c r="R5" s="43"/>
      <c r="S5" s="43"/>
      <c r="T5" s="43"/>
      <c r="U5" s="43"/>
    </row>
    <row r="6" spans="1:21" s="69" customFormat="1" ht="15.6" x14ac:dyDescent="0.3">
      <c r="A6" s="691" t="s">
        <v>823</v>
      </c>
      <c r="B6" s="693"/>
      <c r="C6" s="691" t="s">
        <v>1011</v>
      </c>
      <c r="D6" s="693"/>
      <c r="E6" s="691" t="s">
        <v>1008</v>
      </c>
      <c r="F6" s="692"/>
      <c r="G6" s="692"/>
      <c r="H6" s="693"/>
      <c r="I6" s="555">
        <f>AVERAGE(I12:I13)</f>
        <v>2967.9049999999997</v>
      </c>
      <c r="J6" s="555">
        <f t="shared" ref="J6:N6" si="4">AVERAGE(J12:J13)</f>
        <v>599.54999999999995</v>
      </c>
      <c r="K6" s="555">
        <f t="shared" si="4"/>
        <v>138.00194092042932</v>
      </c>
      <c r="L6" s="555">
        <f t="shared" si="4"/>
        <v>2368.355</v>
      </c>
      <c r="M6" s="555">
        <f t="shared" si="4"/>
        <v>3105.9069409204294</v>
      </c>
      <c r="N6" s="555">
        <f t="shared" si="4"/>
        <v>2663.4298533413621</v>
      </c>
      <c r="O6" s="43"/>
      <c r="P6" s="43"/>
      <c r="Q6" s="43"/>
      <c r="R6" s="43"/>
      <c r="S6" s="43"/>
      <c r="T6" s="43"/>
      <c r="U6" s="43"/>
    </row>
    <row r="7" spans="1:21" s="69" customFormat="1" x14ac:dyDescent="0.3">
      <c r="I7" s="43"/>
      <c r="J7" s="43"/>
      <c r="K7" s="43"/>
      <c r="L7" s="43"/>
      <c r="M7" s="43"/>
      <c r="N7" s="43"/>
      <c r="O7" s="43"/>
      <c r="P7" s="43"/>
      <c r="Q7" s="43"/>
      <c r="R7" s="43"/>
      <c r="S7" s="43"/>
      <c r="T7" s="43"/>
      <c r="U7" s="43"/>
    </row>
    <row r="8" spans="1:21" s="69" customFormat="1" x14ac:dyDescent="0.3">
      <c r="I8" s="43"/>
      <c r="J8" s="43"/>
      <c r="K8" s="43"/>
      <c r="L8" s="43"/>
      <c r="M8" s="43"/>
      <c r="N8" s="43"/>
      <c r="O8" s="43"/>
      <c r="P8" s="43"/>
      <c r="Q8" s="43"/>
      <c r="R8" s="43"/>
      <c r="S8" s="43"/>
      <c r="T8" s="43"/>
      <c r="U8" s="43"/>
    </row>
    <row r="9" spans="1:21" s="69" customFormat="1" ht="15" thickBot="1" x14ac:dyDescent="0.35">
      <c r="I9" s="43"/>
      <c r="J9" s="43"/>
      <c r="K9" s="43"/>
      <c r="L9" s="43"/>
      <c r="M9" s="43"/>
      <c r="N9" s="43"/>
      <c r="O9" s="43"/>
      <c r="P9" s="43"/>
      <c r="Q9" s="43"/>
      <c r="R9" s="43"/>
      <c r="S9" s="43"/>
      <c r="T9" s="43"/>
      <c r="U9" s="43"/>
    </row>
    <row r="10" spans="1:21" ht="21" x14ac:dyDescent="0.4">
      <c r="A10" s="706" t="s">
        <v>245</v>
      </c>
      <c r="B10" s="707"/>
      <c r="C10" s="707"/>
      <c r="D10" s="707"/>
      <c r="E10" s="707"/>
      <c r="F10" s="707"/>
      <c r="G10" s="707"/>
      <c r="H10" s="708"/>
      <c r="I10" s="703" t="s">
        <v>983</v>
      </c>
      <c r="J10" s="703"/>
      <c r="K10" s="703"/>
      <c r="L10" s="703"/>
      <c r="M10" s="703"/>
      <c r="N10" s="704"/>
      <c r="O10" s="705" t="s">
        <v>915</v>
      </c>
      <c r="P10" s="705"/>
      <c r="Q10" s="705"/>
      <c r="R10" s="705"/>
      <c r="S10" s="705"/>
      <c r="T10" s="705"/>
      <c r="U10" s="705"/>
    </row>
    <row r="11" spans="1:21" ht="72" x14ac:dyDescent="0.35">
      <c r="A11" s="387" t="s">
        <v>169</v>
      </c>
      <c r="B11" s="138" t="s">
        <v>170</v>
      </c>
      <c r="C11" s="138" t="s">
        <v>29</v>
      </c>
      <c r="D11" s="138" t="s">
        <v>233</v>
      </c>
      <c r="E11" s="138" t="s">
        <v>234</v>
      </c>
      <c r="F11" s="314" t="s">
        <v>173</v>
      </c>
      <c r="G11" s="314" t="s">
        <v>552</v>
      </c>
      <c r="H11" s="328" t="s">
        <v>901</v>
      </c>
      <c r="I11" s="202" t="s">
        <v>919</v>
      </c>
      <c r="J11" s="173" t="s">
        <v>902</v>
      </c>
      <c r="K11" s="173" t="s">
        <v>1030</v>
      </c>
      <c r="L11" s="173" t="s">
        <v>904</v>
      </c>
      <c r="M11" s="173" t="s">
        <v>905</v>
      </c>
      <c r="N11" s="173" t="s">
        <v>906</v>
      </c>
      <c r="O11" s="168" t="s">
        <v>907</v>
      </c>
      <c r="P11" s="168" t="s">
        <v>910</v>
      </c>
      <c r="Q11" s="168" t="s">
        <v>911</v>
      </c>
      <c r="R11" s="172" t="s">
        <v>908</v>
      </c>
      <c r="S11" s="172" t="s">
        <v>909</v>
      </c>
      <c r="T11" s="172" t="s">
        <v>917</v>
      </c>
      <c r="U11" s="172" t="s">
        <v>912</v>
      </c>
    </row>
    <row r="12" spans="1:21" ht="18" x14ac:dyDescent="0.3">
      <c r="A12" s="331" t="s">
        <v>650</v>
      </c>
      <c r="B12" s="316" t="s">
        <v>651</v>
      </c>
      <c r="C12" s="315" t="s">
        <v>696</v>
      </c>
      <c r="D12" s="315">
        <v>3256.2</v>
      </c>
      <c r="E12" s="315">
        <v>646.95000000000005</v>
      </c>
      <c r="F12" s="315">
        <f>D12-E12</f>
        <v>2609.25</v>
      </c>
      <c r="G12" s="496">
        <f t="shared" ref="G12:G34" si="5">F12</f>
        <v>2609.25</v>
      </c>
      <c r="H12" s="497">
        <f>187.14</f>
        <v>187.14</v>
      </c>
      <c r="I12" s="498">
        <f>D12</f>
        <v>3256.2</v>
      </c>
      <c r="J12" s="498">
        <f>E12</f>
        <v>646.95000000000005</v>
      </c>
      <c r="K12" s="498">
        <f>H12*'Labor Adjustment'!$B$10</f>
        <v>138.00194092042932</v>
      </c>
      <c r="L12" s="499">
        <f>I12-J12</f>
        <v>2609.25</v>
      </c>
      <c r="M12" s="499">
        <f>I12+K12</f>
        <v>3394.201940920429</v>
      </c>
      <c r="N12" s="499">
        <f>L12+U12</f>
        <v>2923.2883286878255</v>
      </c>
      <c r="O12" s="500">
        <v>0.05</v>
      </c>
      <c r="P12" s="501">
        <v>12</v>
      </c>
      <c r="Q12" s="501">
        <f>P12/3</f>
        <v>4</v>
      </c>
      <c r="R12" s="502">
        <f>((1+O12)^Q12-1)/(O12*(1+O12)^Q12)</f>
        <v>3.5459505041623602</v>
      </c>
      <c r="S12" s="502">
        <f>((1+O12)^P12-1)/(O12*(1+O12)^P12)</f>
        <v>8.8632516364488083</v>
      </c>
      <c r="T12" s="502">
        <f>R12/S12</f>
        <v>0.40007331954563541</v>
      </c>
      <c r="U12" s="502">
        <f>(J12+K12)*T12</f>
        <v>314.03832868782564</v>
      </c>
    </row>
    <row r="13" spans="1:21" s="69" customFormat="1" ht="18" x14ac:dyDescent="0.3">
      <c r="A13" s="331" t="s">
        <v>652</v>
      </c>
      <c r="B13" s="316" t="s">
        <v>653</v>
      </c>
      <c r="C13" s="315" t="s">
        <v>697</v>
      </c>
      <c r="D13" s="315">
        <v>2679.61</v>
      </c>
      <c r="E13" s="315">
        <v>552.15</v>
      </c>
      <c r="F13" s="315">
        <f t="shared" ref="F13:F34" si="6">D13-E13</f>
        <v>2127.46</v>
      </c>
      <c r="G13" s="496">
        <f t="shared" si="5"/>
        <v>2127.46</v>
      </c>
      <c r="H13" s="497">
        <v>187.14</v>
      </c>
      <c r="I13" s="498">
        <f t="shared" ref="I13:I34" si="7">D13</f>
        <v>2679.61</v>
      </c>
      <c r="J13" s="498">
        <f t="shared" ref="J13:J34" si="8">E13</f>
        <v>552.15</v>
      </c>
      <c r="K13" s="498">
        <f>H13*'Labor Adjustment'!$B$10</f>
        <v>138.00194092042932</v>
      </c>
      <c r="L13" s="499">
        <f t="shared" ref="L13:L34" si="9">I13-J13</f>
        <v>2127.46</v>
      </c>
      <c r="M13" s="499">
        <f t="shared" ref="M13:M34" si="10">I13+K13</f>
        <v>2817.6119409204293</v>
      </c>
      <c r="N13" s="499">
        <f t="shared" ref="N13:N34" si="11">L13+U13</f>
        <v>2403.5713779948992</v>
      </c>
      <c r="O13" s="500">
        <v>0.05</v>
      </c>
      <c r="P13" s="501">
        <v>12</v>
      </c>
      <c r="Q13" s="501">
        <f t="shared" ref="Q13:Q34" si="12">P13/3</f>
        <v>4</v>
      </c>
      <c r="R13" s="502">
        <f t="shared" ref="R13:R34" si="13">((1+O13)^Q13-1)/(O13*(1+O13)^Q13)</f>
        <v>3.5459505041623602</v>
      </c>
      <c r="S13" s="502">
        <f t="shared" ref="S13:S34" si="14">((1+O13)^P13-1)/(O13*(1+O13)^P13)</f>
        <v>8.8632516364488083</v>
      </c>
      <c r="T13" s="502">
        <f t="shared" ref="T13:T34" si="15">R13/S13</f>
        <v>0.40007331954563541</v>
      </c>
      <c r="U13" s="502">
        <f t="shared" ref="U13:U34" si="16">(J13+K13)*T13</f>
        <v>276.11137799489939</v>
      </c>
    </row>
    <row r="14" spans="1:21" s="69" customFormat="1" ht="18" x14ac:dyDescent="0.3">
      <c r="A14" s="331" t="s">
        <v>654</v>
      </c>
      <c r="B14" s="316" t="s">
        <v>655</v>
      </c>
      <c r="C14" s="315" t="s">
        <v>698</v>
      </c>
      <c r="D14" s="315">
        <v>1908.92</v>
      </c>
      <c r="E14" s="315">
        <v>419.43</v>
      </c>
      <c r="F14" s="315">
        <f t="shared" si="6"/>
        <v>1489.49</v>
      </c>
      <c r="G14" s="496">
        <f t="shared" si="5"/>
        <v>1489.49</v>
      </c>
      <c r="H14" s="497">
        <v>187.14</v>
      </c>
      <c r="I14" s="498">
        <f t="shared" si="7"/>
        <v>1908.92</v>
      </c>
      <c r="J14" s="498">
        <f t="shared" si="8"/>
        <v>419.43</v>
      </c>
      <c r="K14" s="498">
        <f>H14*'Labor Adjustment'!$B$10</f>
        <v>138.00194092042932</v>
      </c>
      <c r="L14" s="499">
        <f t="shared" si="9"/>
        <v>1489.49</v>
      </c>
      <c r="M14" s="499">
        <f t="shared" si="10"/>
        <v>2046.9219409204293</v>
      </c>
      <c r="N14" s="499">
        <f t="shared" si="11"/>
        <v>1712.5036470248026</v>
      </c>
      <c r="O14" s="500">
        <v>0.05</v>
      </c>
      <c r="P14" s="501">
        <v>12</v>
      </c>
      <c r="Q14" s="501">
        <f t="shared" si="12"/>
        <v>4</v>
      </c>
      <c r="R14" s="502">
        <f t="shared" si="13"/>
        <v>3.5459505041623602</v>
      </c>
      <c r="S14" s="502">
        <f>((1+O14)^P14-1)/(O14*(1+O14)^P14)</f>
        <v>8.8632516364488083</v>
      </c>
      <c r="T14" s="502">
        <f>R14/S14</f>
        <v>0.40007331954563541</v>
      </c>
      <c r="U14" s="502">
        <f t="shared" si="16"/>
        <v>223.01364702480265</v>
      </c>
    </row>
    <row r="15" spans="1:21" s="69" customFormat="1" ht="18" x14ac:dyDescent="0.3">
      <c r="A15" s="331" t="s">
        <v>656</v>
      </c>
      <c r="B15" s="316" t="s">
        <v>657</v>
      </c>
      <c r="C15" s="315" t="s">
        <v>699</v>
      </c>
      <c r="D15" s="315">
        <v>1680.57</v>
      </c>
      <c r="E15" s="315">
        <v>385.3</v>
      </c>
      <c r="F15" s="315">
        <f t="shared" si="6"/>
        <v>1295.27</v>
      </c>
      <c r="G15" s="496">
        <f t="shared" si="5"/>
        <v>1295.27</v>
      </c>
      <c r="H15" s="497">
        <v>187.14</v>
      </c>
      <c r="I15" s="498">
        <f t="shared" si="7"/>
        <v>1680.57</v>
      </c>
      <c r="J15" s="498">
        <f t="shared" si="8"/>
        <v>385.3</v>
      </c>
      <c r="K15" s="498">
        <f>H15*'Labor Adjustment'!$B$10</f>
        <v>138.00194092042932</v>
      </c>
      <c r="L15" s="499">
        <f>I15-J15</f>
        <v>1295.27</v>
      </c>
      <c r="M15" s="499">
        <f>I15+K15</f>
        <v>1818.5719409204294</v>
      </c>
      <c r="N15" s="499">
        <f t="shared" si="11"/>
        <v>1504.62914462871</v>
      </c>
      <c r="O15" s="500">
        <v>0.05</v>
      </c>
      <c r="P15" s="501">
        <v>12</v>
      </c>
      <c r="Q15" s="501">
        <f t="shared" si="12"/>
        <v>4</v>
      </c>
      <c r="R15" s="502">
        <f t="shared" si="13"/>
        <v>3.5459505041623602</v>
      </c>
      <c r="S15" s="502">
        <f t="shared" si="14"/>
        <v>8.8632516364488083</v>
      </c>
      <c r="T15" s="502">
        <f t="shared" si="15"/>
        <v>0.40007331954563541</v>
      </c>
      <c r="U15" s="502">
        <f t="shared" si="16"/>
        <v>209.35914462871017</v>
      </c>
    </row>
    <row r="16" spans="1:21" s="69" customFormat="1" ht="18" x14ac:dyDescent="0.3">
      <c r="A16" s="331" t="s">
        <v>658</v>
      </c>
      <c r="B16" s="316" t="s">
        <v>659</v>
      </c>
      <c r="C16" s="315" t="s">
        <v>700</v>
      </c>
      <c r="D16" s="315">
        <v>1492.18</v>
      </c>
      <c r="E16" s="315">
        <v>362.55</v>
      </c>
      <c r="F16" s="315">
        <f t="shared" si="6"/>
        <v>1129.6300000000001</v>
      </c>
      <c r="G16" s="496">
        <f t="shared" si="5"/>
        <v>1129.6300000000001</v>
      </c>
      <c r="H16" s="497">
        <v>187.14</v>
      </c>
      <c r="I16" s="498">
        <f t="shared" si="7"/>
        <v>1492.18</v>
      </c>
      <c r="J16" s="498">
        <f t="shared" si="8"/>
        <v>362.55</v>
      </c>
      <c r="K16" s="498">
        <f>H16*'Labor Adjustment'!$B$10</f>
        <v>138.00194092042932</v>
      </c>
      <c r="L16" s="499">
        <f t="shared" si="9"/>
        <v>1129.6300000000001</v>
      </c>
      <c r="M16" s="499">
        <f t="shared" si="10"/>
        <v>1630.1819409204295</v>
      </c>
      <c r="N16" s="499">
        <f t="shared" si="11"/>
        <v>1329.8874766090471</v>
      </c>
      <c r="O16" s="500">
        <v>0.05</v>
      </c>
      <c r="P16" s="501">
        <v>12</v>
      </c>
      <c r="Q16" s="501">
        <f t="shared" si="12"/>
        <v>4</v>
      </c>
      <c r="R16" s="502">
        <f t="shared" si="13"/>
        <v>3.5459505041623602</v>
      </c>
      <c r="S16" s="502">
        <f t="shared" si="14"/>
        <v>8.8632516364488083</v>
      </c>
      <c r="T16" s="502">
        <f t="shared" si="15"/>
        <v>0.40007331954563541</v>
      </c>
      <c r="U16" s="502">
        <f t="shared" si="16"/>
        <v>200.25747660904693</v>
      </c>
    </row>
    <row r="17" spans="1:21" s="69" customFormat="1" ht="18" x14ac:dyDescent="0.3">
      <c r="A17" s="331" t="s">
        <v>660</v>
      </c>
      <c r="B17" s="316" t="s">
        <v>661</v>
      </c>
      <c r="C17" s="315" t="s">
        <v>701</v>
      </c>
      <c r="D17" s="315">
        <v>1252.4100000000001</v>
      </c>
      <c r="E17" s="315">
        <v>343.59</v>
      </c>
      <c r="F17" s="315">
        <f t="shared" si="6"/>
        <v>908.82000000000016</v>
      </c>
      <c r="G17" s="496">
        <f t="shared" si="5"/>
        <v>908.82000000000016</v>
      </c>
      <c r="H17" s="497">
        <v>187.14</v>
      </c>
      <c r="I17" s="498">
        <f t="shared" si="7"/>
        <v>1252.4100000000001</v>
      </c>
      <c r="J17" s="498">
        <f t="shared" si="8"/>
        <v>343.59</v>
      </c>
      <c r="K17" s="498">
        <f>H17*'Labor Adjustment'!$B$10</f>
        <v>138.00194092042932</v>
      </c>
      <c r="L17" s="499">
        <f t="shared" si="9"/>
        <v>908.82000000000016</v>
      </c>
      <c r="M17" s="499">
        <f t="shared" si="10"/>
        <v>1390.4119409204295</v>
      </c>
      <c r="N17" s="499">
        <f t="shared" si="11"/>
        <v>1101.4920864704618</v>
      </c>
      <c r="O17" s="500">
        <v>0.05</v>
      </c>
      <c r="P17" s="501">
        <v>12</v>
      </c>
      <c r="Q17" s="501">
        <f t="shared" si="12"/>
        <v>4</v>
      </c>
      <c r="R17" s="502">
        <f t="shared" si="13"/>
        <v>3.5459505041623602</v>
      </c>
      <c r="S17" s="502">
        <f t="shared" si="14"/>
        <v>8.8632516364488083</v>
      </c>
      <c r="T17" s="502">
        <f t="shared" si="15"/>
        <v>0.40007331954563541</v>
      </c>
      <c r="U17" s="502">
        <f t="shared" si="16"/>
        <v>192.67208647046166</v>
      </c>
    </row>
    <row r="18" spans="1:21" s="69" customFormat="1" ht="18" x14ac:dyDescent="0.3">
      <c r="A18" s="331" t="s">
        <v>662</v>
      </c>
      <c r="B18" s="316" t="s">
        <v>663</v>
      </c>
      <c r="C18" s="315" t="s">
        <v>702</v>
      </c>
      <c r="D18" s="315">
        <v>1024.06</v>
      </c>
      <c r="E18" s="315">
        <v>324.63</v>
      </c>
      <c r="F18" s="315">
        <f t="shared" si="6"/>
        <v>699.43</v>
      </c>
      <c r="G18" s="496">
        <f t="shared" si="5"/>
        <v>699.43</v>
      </c>
      <c r="H18" s="497">
        <v>187.14</v>
      </c>
      <c r="I18" s="498">
        <f t="shared" si="7"/>
        <v>1024.06</v>
      </c>
      <c r="J18" s="498">
        <f t="shared" si="8"/>
        <v>324.63</v>
      </c>
      <c r="K18" s="498">
        <f>H18*'Labor Adjustment'!$B$10</f>
        <v>138.00194092042932</v>
      </c>
      <c r="L18" s="499">
        <f t="shared" si="9"/>
        <v>699.43</v>
      </c>
      <c r="M18" s="499">
        <f t="shared" si="10"/>
        <v>1162.0619409204292</v>
      </c>
      <c r="N18" s="499">
        <f t="shared" si="11"/>
        <v>884.51669633187635</v>
      </c>
      <c r="O18" s="500">
        <v>0.05</v>
      </c>
      <c r="P18" s="501">
        <v>12</v>
      </c>
      <c r="Q18" s="501">
        <f t="shared" si="12"/>
        <v>4</v>
      </c>
      <c r="R18" s="502">
        <f t="shared" si="13"/>
        <v>3.5459505041623602</v>
      </c>
      <c r="S18" s="502">
        <f t="shared" si="14"/>
        <v>8.8632516364488083</v>
      </c>
      <c r="T18" s="502">
        <f t="shared" si="15"/>
        <v>0.40007331954563541</v>
      </c>
      <c r="U18" s="502">
        <f t="shared" si="16"/>
        <v>185.08669633187645</v>
      </c>
    </row>
    <row r="19" spans="1:21" s="69" customFormat="1" ht="18" x14ac:dyDescent="0.3">
      <c r="A19" s="331" t="s">
        <v>664</v>
      </c>
      <c r="B19" s="316" t="s">
        <v>665</v>
      </c>
      <c r="C19" s="315" t="s">
        <v>703</v>
      </c>
      <c r="D19" s="315">
        <v>795.71</v>
      </c>
      <c r="E19" s="315">
        <v>305.67</v>
      </c>
      <c r="F19" s="315">
        <f t="shared" si="6"/>
        <v>490.04</v>
      </c>
      <c r="G19" s="496">
        <f t="shared" si="5"/>
        <v>490.04</v>
      </c>
      <c r="H19" s="497">
        <v>187.14</v>
      </c>
      <c r="I19" s="498">
        <f t="shared" si="7"/>
        <v>795.71</v>
      </c>
      <c r="J19" s="498">
        <f t="shared" si="8"/>
        <v>305.67</v>
      </c>
      <c r="K19" s="498">
        <f>H19*'Labor Adjustment'!$B$10</f>
        <v>138.00194092042932</v>
      </c>
      <c r="L19" s="499">
        <f t="shared" si="9"/>
        <v>490.04</v>
      </c>
      <c r="M19" s="499">
        <f t="shared" si="10"/>
        <v>933.71194092042936</v>
      </c>
      <c r="N19" s="499">
        <f t="shared" si="11"/>
        <v>667.54130619329123</v>
      </c>
      <c r="O19" s="500">
        <v>0.05</v>
      </c>
      <c r="P19" s="501">
        <v>12</v>
      </c>
      <c r="Q19" s="501">
        <f t="shared" si="12"/>
        <v>4</v>
      </c>
      <c r="R19" s="502">
        <f t="shared" si="13"/>
        <v>3.5459505041623602</v>
      </c>
      <c r="S19" s="502">
        <f t="shared" si="14"/>
        <v>8.8632516364488083</v>
      </c>
      <c r="T19" s="502">
        <f t="shared" si="15"/>
        <v>0.40007331954563541</v>
      </c>
      <c r="U19" s="502">
        <f t="shared" si="16"/>
        <v>177.50130619329121</v>
      </c>
    </row>
    <row r="20" spans="1:21" s="69" customFormat="1" ht="18" x14ac:dyDescent="0.3">
      <c r="A20" s="331" t="s">
        <v>666</v>
      </c>
      <c r="B20" s="316" t="s">
        <v>667</v>
      </c>
      <c r="C20" s="315" t="s">
        <v>704</v>
      </c>
      <c r="D20" s="315">
        <v>681.53</v>
      </c>
      <c r="E20" s="315">
        <v>294.29000000000002</v>
      </c>
      <c r="F20" s="315">
        <f t="shared" si="6"/>
        <v>387.23999999999995</v>
      </c>
      <c r="G20" s="496">
        <f t="shared" si="5"/>
        <v>387.23999999999995</v>
      </c>
      <c r="H20" s="497">
        <v>187.14</v>
      </c>
      <c r="I20" s="498">
        <f t="shared" si="7"/>
        <v>681.53</v>
      </c>
      <c r="J20" s="498">
        <f t="shared" si="8"/>
        <v>294.29000000000002</v>
      </c>
      <c r="K20" s="498">
        <f>H20*'Labor Adjustment'!$B$10</f>
        <v>138.00194092042932</v>
      </c>
      <c r="L20" s="499">
        <f t="shared" si="9"/>
        <v>387.23999999999995</v>
      </c>
      <c r="M20" s="499">
        <f t="shared" si="10"/>
        <v>819.53194092042929</v>
      </c>
      <c r="N20" s="499">
        <f t="shared" si="11"/>
        <v>560.18847181686181</v>
      </c>
      <c r="O20" s="500">
        <v>0.05</v>
      </c>
      <c r="P20" s="501">
        <v>12</v>
      </c>
      <c r="Q20" s="501">
        <f t="shared" si="12"/>
        <v>4</v>
      </c>
      <c r="R20" s="502">
        <f t="shared" si="13"/>
        <v>3.5459505041623602</v>
      </c>
      <c r="S20" s="502">
        <f t="shared" si="14"/>
        <v>8.8632516364488083</v>
      </c>
      <c r="T20" s="502">
        <f t="shared" si="15"/>
        <v>0.40007331954563541</v>
      </c>
      <c r="U20" s="502">
        <f t="shared" si="16"/>
        <v>172.94847181686188</v>
      </c>
    </row>
    <row r="21" spans="1:21" s="69" customFormat="1" ht="18" x14ac:dyDescent="0.3">
      <c r="A21" s="331" t="s">
        <v>668</v>
      </c>
      <c r="B21" s="316" t="s">
        <v>669</v>
      </c>
      <c r="C21" s="315" t="s">
        <v>698</v>
      </c>
      <c r="D21" s="315">
        <v>1826.12</v>
      </c>
      <c r="E21" s="315">
        <v>726.01</v>
      </c>
      <c r="F21" s="315">
        <f t="shared" si="6"/>
        <v>1100.1099999999999</v>
      </c>
      <c r="G21" s="496">
        <f t="shared" si="5"/>
        <v>1100.1099999999999</v>
      </c>
      <c r="H21" s="497">
        <v>187.14</v>
      </c>
      <c r="I21" s="498">
        <f t="shared" si="7"/>
        <v>1826.12</v>
      </c>
      <c r="J21" s="498">
        <f t="shared" si="8"/>
        <v>726.01</v>
      </c>
      <c r="K21" s="498">
        <f>H21*'Labor Adjustment'!$B$10</f>
        <v>138.00194092042932</v>
      </c>
      <c r="L21" s="499">
        <f t="shared" si="9"/>
        <v>1100.1099999999999</v>
      </c>
      <c r="M21" s="499">
        <f t="shared" si="10"/>
        <v>1964.1219409204291</v>
      </c>
      <c r="N21" s="499">
        <f t="shared" si="11"/>
        <v>1445.7781253311034</v>
      </c>
      <c r="O21" s="500">
        <v>0.05</v>
      </c>
      <c r="P21" s="501">
        <v>12</v>
      </c>
      <c r="Q21" s="501">
        <f t="shared" si="12"/>
        <v>4</v>
      </c>
      <c r="R21" s="502">
        <f t="shared" si="13"/>
        <v>3.5459505041623602</v>
      </c>
      <c r="S21" s="502">
        <f t="shared" si="14"/>
        <v>8.8632516364488083</v>
      </c>
      <c r="T21" s="502">
        <f t="shared" si="15"/>
        <v>0.40007331954563541</v>
      </c>
      <c r="U21" s="502">
        <f t="shared" si="16"/>
        <v>345.66812533110357</v>
      </c>
    </row>
    <row r="22" spans="1:21" s="69" customFormat="1" ht="18" x14ac:dyDescent="0.3">
      <c r="A22" s="331" t="s">
        <v>670</v>
      </c>
      <c r="B22" s="316" t="s">
        <v>671</v>
      </c>
      <c r="C22" s="315" t="s">
        <v>699</v>
      </c>
      <c r="D22" s="315">
        <v>1640.56</v>
      </c>
      <c r="E22" s="315">
        <v>712.13</v>
      </c>
      <c r="F22" s="315">
        <f t="shared" si="6"/>
        <v>928.43</v>
      </c>
      <c r="G22" s="496">
        <f t="shared" si="5"/>
        <v>928.43</v>
      </c>
      <c r="H22" s="497">
        <v>187.14</v>
      </c>
      <c r="I22" s="498">
        <f t="shared" si="7"/>
        <v>1640.56</v>
      </c>
      <c r="J22" s="498">
        <f t="shared" si="8"/>
        <v>712.13</v>
      </c>
      <c r="K22" s="498">
        <f>H22*'Labor Adjustment'!$B$10</f>
        <v>138.00194092042932</v>
      </c>
      <c r="L22" s="499">
        <f t="shared" si="9"/>
        <v>928.43</v>
      </c>
      <c r="M22" s="499">
        <f t="shared" si="10"/>
        <v>1778.5619409204292</v>
      </c>
      <c r="N22" s="499">
        <f t="shared" si="11"/>
        <v>1268.5451076558102</v>
      </c>
      <c r="O22" s="500">
        <v>0.05</v>
      </c>
      <c r="P22" s="501">
        <v>12</v>
      </c>
      <c r="Q22" s="501">
        <f t="shared" si="12"/>
        <v>4</v>
      </c>
      <c r="R22" s="502">
        <f t="shared" si="13"/>
        <v>3.5459505041623602</v>
      </c>
      <c r="S22" s="502">
        <f t="shared" si="14"/>
        <v>8.8632516364488083</v>
      </c>
      <c r="T22" s="502">
        <f t="shared" si="15"/>
        <v>0.40007331954563541</v>
      </c>
      <c r="U22" s="502">
        <f t="shared" si="16"/>
        <v>340.11510765581016</v>
      </c>
    </row>
    <row r="23" spans="1:21" s="69" customFormat="1" ht="18" x14ac:dyDescent="0.3">
      <c r="A23" s="331" t="s">
        <v>672</v>
      </c>
      <c r="B23" s="316" t="s">
        <v>673</v>
      </c>
      <c r="C23" s="315" t="s">
        <v>700</v>
      </c>
      <c r="D23" s="315">
        <v>1457.74</v>
      </c>
      <c r="E23" s="315">
        <v>702.88</v>
      </c>
      <c r="F23" s="315">
        <f t="shared" si="6"/>
        <v>754.86</v>
      </c>
      <c r="G23" s="496">
        <f t="shared" si="5"/>
        <v>754.86</v>
      </c>
      <c r="H23" s="497">
        <v>187.14</v>
      </c>
      <c r="I23" s="498">
        <f t="shared" si="7"/>
        <v>1457.74</v>
      </c>
      <c r="J23" s="498">
        <f t="shared" si="8"/>
        <v>702.88</v>
      </c>
      <c r="K23" s="498">
        <f>H23*'Labor Adjustment'!$B$10</f>
        <v>138.00194092042932</v>
      </c>
      <c r="L23" s="499">
        <f t="shared" si="9"/>
        <v>754.86</v>
      </c>
      <c r="M23" s="499">
        <f t="shared" si="10"/>
        <v>1595.7419409204294</v>
      </c>
      <c r="N23" s="499">
        <f t="shared" si="11"/>
        <v>1091.274429450013</v>
      </c>
      <c r="O23" s="500">
        <v>0.05</v>
      </c>
      <c r="P23" s="501">
        <v>12</v>
      </c>
      <c r="Q23" s="501">
        <f t="shared" si="12"/>
        <v>4</v>
      </c>
      <c r="R23" s="502">
        <f t="shared" si="13"/>
        <v>3.5459505041623602</v>
      </c>
      <c r="S23" s="502">
        <f t="shared" si="14"/>
        <v>8.8632516364488083</v>
      </c>
      <c r="T23" s="502">
        <f t="shared" si="15"/>
        <v>0.40007331954563541</v>
      </c>
      <c r="U23" s="502">
        <f t="shared" si="16"/>
        <v>336.41442945001302</v>
      </c>
    </row>
    <row r="24" spans="1:21" s="69" customFormat="1" ht="18" x14ac:dyDescent="0.3">
      <c r="A24" s="331" t="s">
        <v>674</v>
      </c>
      <c r="B24" s="316" t="s">
        <v>675</v>
      </c>
      <c r="C24" s="315" t="s">
        <v>701</v>
      </c>
      <c r="D24" s="315">
        <v>1225.06</v>
      </c>
      <c r="E24" s="315">
        <v>695.17</v>
      </c>
      <c r="F24" s="315">
        <f t="shared" si="6"/>
        <v>529.89</v>
      </c>
      <c r="G24" s="496">
        <f t="shared" si="5"/>
        <v>529.89</v>
      </c>
      <c r="H24" s="497">
        <v>187.14</v>
      </c>
      <c r="I24" s="498">
        <f t="shared" si="7"/>
        <v>1225.06</v>
      </c>
      <c r="J24" s="498">
        <f t="shared" si="8"/>
        <v>695.17</v>
      </c>
      <c r="K24" s="498">
        <f>H24*'Labor Adjustment'!$B$10</f>
        <v>138.00194092042932</v>
      </c>
      <c r="L24" s="499">
        <f t="shared" si="9"/>
        <v>529.89</v>
      </c>
      <c r="M24" s="499">
        <f t="shared" si="10"/>
        <v>1363.0619409204292</v>
      </c>
      <c r="N24" s="499">
        <f t="shared" si="11"/>
        <v>863.21986415631613</v>
      </c>
      <c r="O24" s="500">
        <v>0.05</v>
      </c>
      <c r="P24" s="501">
        <v>12</v>
      </c>
      <c r="Q24" s="501">
        <f t="shared" si="12"/>
        <v>4</v>
      </c>
      <c r="R24" s="502">
        <f t="shared" si="13"/>
        <v>3.5459505041623602</v>
      </c>
      <c r="S24" s="502">
        <f t="shared" si="14"/>
        <v>8.8632516364488083</v>
      </c>
      <c r="T24" s="502">
        <f t="shared" si="15"/>
        <v>0.40007331954563541</v>
      </c>
      <c r="U24" s="502">
        <f t="shared" si="16"/>
        <v>333.32986415631615</v>
      </c>
    </row>
    <row r="25" spans="1:21" s="69" customFormat="1" ht="18" x14ac:dyDescent="0.3">
      <c r="A25" s="331" t="s">
        <v>676</v>
      </c>
      <c r="B25" s="316" t="s">
        <v>677</v>
      </c>
      <c r="C25" s="315" t="s">
        <v>702</v>
      </c>
      <c r="D25" s="315">
        <v>1003.46</v>
      </c>
      <c r="E25" s="315">
        <v>687.46</v>
      </c>
      <c r="F25" s="315">
        <f t="shared" si="6"/>
        <v>316</v>
      </c>
      <c r="G25" s="496">
        <f t="shared" si="5"/>
        <v>316</v>
      </c>
      <c r="H25" s="497">
        <v>187.14</v>
      </c>
      <c r="I25" s="498">
        <f t="shared" si="7"/>
        <v>1003.46</v>
      </c>
      <c r="J25" s="498">
        <f t="shared" si="8"/>
        <v>687.46</v>
      </c>
      <c r="K25" s="498">
        <f>H25*'Labor Adjustment'!$B$10</f>
        <v>138.00194092042932</v>
      </c>
      <c r="L25" s="499">
        <f t="shared" si="9"/>
        <v>316</v>
      </c>
      <c r="M25" s="499">
        <f t="shared" si="10"/>
        <v>1141.4619409204292</v>
      </c>
      <c r="N25" s="499">
        <f t="shared" si="11"/>
        <v>646.24529886261939</v>
      </c>
      <c r="O25" s="500">
        <v>0.05</v>
      </c>
      <c r="P25" s="501">
        <v>12</v>
      </c>
      <c r="Q25" s="501">
        <f t="shared" si="12"/>
        <v>4</v>
      </c>
      <c r="R25" s="502">
        <f t="shared" si="13"/>
        <v>3.5459505041623602</v>
      </c>
      <c r="S25" s="502">
        <f t="shared" si="14"/>
        <v>8.8632516364488083</v>
      </c>
      <c r="T25" s="502">
        <f t="shared" si="15"/>
        <v>0.40007331954563541</v>
      </c>
      <c r="U25" s="502">
        <f t="shared" si="16"/>
        <v>330.24529886261934</v>
      </c>
    </row>
    <row r="26" spans="1:21" s="69" customFormat="1" ht="18" x14ac:dyDescent="0.3">
      <c r="A26" s="331" t="s">
        <v>678</v>
      </c>
      <c r="B26" s="316" t="s">
        <v>679</v>
      </c>
      <c r="C26" s="315" t="s">
        <v>703</v>
      </c>
      <c r="D26" s="315">
        <v>781.86</v>
      </c>
      <c r="E26" s="315">
        <v>679.75</v>
      </c>
      <c r="F26" s="315">
        <f t="shared" si="6"/>
        <v>102.11000000000001</v>
      </c>
      <c r="G26" s="496">
        <f t="shared" si="5"/>
        <v>102.11000000000001</v>
      </c>
      <c r="H26" s="497">
        <v>187.14</v>
      </c>
      <c r="I26" s="498">
        <f t="shared" si="7"/>
        <v>781.86</v>
      </c>
      <c r="J26" s="498">
        <f t="shared" si="8"/>
        <v>679.75</v>
      </c>
      <c r="K26" s="498">
        <f>H26*'Labor Adjustment'!$B$10</f>
        <v>138.00194092042932</v>
      </c>
      <c r="L26" s="499">
        <f t="shared" si="9"/>
        <v>102.11000000000001</v>
      </c>
      <c r="M26" s="499">
        <f t="shared" si="10"/>
        <v>919.86194092042933</v>
      </c>
      <c r="N26" s="499">
        <f t="shared" si="11"/>
        <v>429.27073356892248</v>
      </c>
      <c r="O26" s="500">
        <v>0.05</v>
      </c>
      <c r="P26" s="501">
        <v>12</v>
      </c>
      <c r="Q26" s="501">
        <f t="shared" si="12"/>
        <v>4</v>
      </c>
      <c r="R26" s="502">
        <f t="shared" si="13"/>
        <v>3.5459505041623602</v>
      </c>
      <c r="S26" s="502">
        <f t="shared" si="14"/>
        <v>8.8632516364488083</v>
      </c>
      <c r="T26" s="502">
        <f t="shared" si="15"/>
        <v>0.40007331954563541</v>
      </c>
      <c r="U26" s="502">
        <f t="shared" si="16"/>
        <v>327.16073356892247</v>
      </c>
    </row>
    <row r="27" spans="1:21" s="69" customFormat="1" ht="18" x14ac:dyDescent="0.3">
      <c r="A27" s="331" t="s">
        <v>680</v>
      </c>
      <c r="B27" s="316" t="s">
        <v>681</v>
      </c>
      <c r="C27" s="315" t="s">
        <v>704</v>
      </c>
      <c r="D27" s="315">
        <v>754.16</v>
      </c>
      <c r="E27" s="315">
        <v>675.12</v>
      </c>
      <c r="F27" s="315">
        <f t="shared" si="6"/>
        <v>79.039999999999964</v>
      </c>
      <c r="G27" s="496">
        <f t="shared" si="5"/>
        <v>79.039999999999964</v>
      </c>
      <c r="H27" s="497">
        <v>187.14</v>
      </c>
      <c r="I27" s="498">
        <f t="shared" si="7"/>
        <v>754.16</v>
      </c>
      <c r="J27" s="498">
        <f t="shared" si="8"/>
        <v>675.12</v>
      </c>
      <c r="K27" s="498">
        <f>H27*'Labor Adjustment'!$B$10</f>
        <v>138.00194092042932</v>
      </c>
      <c r="L27" s="499">
        <f t="shared" si="9"/>
        <v>79.039999999999964</v>
      </c>
      <c r="M27" s="499">
        <f t="shared" si="10"/>
        <v>892.16194092042929</v>
      </c>
      <c r="N27" s="499">
        <f t="shared" si="11"/>
        <v>404.34839409942617</v>
      </c>
      <c r="O27" s="500">
        <v>0.05</v>
      </c>
      <c r="P27" s="501">
        <v>12</v>
      </c>
      <c r="Q27" s="501">
        <f t="shared" si="12"/>
        <v>4</v>
      </c>
      <c r="R27" s="502">
        <f t="shared" si="13"/>
        <v>3.5459505041623602</v>
      </c>
      <c r="S27" s="502">
        <f t="shared" si="14"/>
        <v>8.8632516364488083</v>
      </c>
      <c r="T27" s="502">
        <f t="shared" si="15"/>
        <v>0.40007331954563541</v>
      </c>
      <c r="U27" s="502">
        <f t="shared" si="16"/>
        <v>325.30839409942621</v>
      </c>
    </row>
    <row r="28" spans="1:21" s="69" customFormat="1" ht="18" x14ac:dyDescent="0.3">
      <c r="A28" s="331" t="s">
        <v>682</v>
      </c>
      <c r="B28" s="316" t="s">
        <v>683</v>
      </c>
      <c r="C28" s="315" t="s">
        <v>698</v>
      </c>
      <c r="D28" s="315">
        <v>1826.12</v>
      </c>
      <c r="E28" s="315">
        <v>726.01</v>
      </c>
      <c r="F28" s="315">
        <f t="shared" si="6"/>
        <v>1100.1099999999999</v>
      </c>
      <c r="G28" s="496">
        <f t="shared" si="5"/>
        <v>1100.1099999999999</v>
      </c>
      <c r="H28" s="497">
        <v>187.14</v>
      </c>
      <c r="I28" s="498">
        <f t="shared" si="7"/>
        <v>1826.12</v>
      </c>
      <c r="J28" s="498">
        <f t="shared" si="8"/>
        <v>726.01</v>
      </c>
      <c r="K28" s="498">
        <f>H28*'Labor Adjustment'!$B$10</f>
        <v>138.00194092042932</v>
      </c>
      <c r="L28" s="499">
        <f t="shared" si="9"/>
        <v>1100.1099999999999</v>
      </c>
      <c r="M28" s="499">
        <f t="shared" si="10"/>
        <v>1964.1219409204291</v>
      </c>
      <c r="N28" s="499">
        <f t="shared" si="11"/>
        <v>1445.7781253311034</v>
      </c>
      <c r="O28" s="500">
        <v>0.05</v>
      </c>
      <c r="P28" s="501">
        <v>12</v>
      </c>
      <c r="Q28" s="501">
        <f t="shared" si="12"/>
        <v>4</v>
      </c>
      <c r="R28" s="502">
        <f t="shared" si="13"/>
        <v>3.5459505041623602</v>
      </c>
      <c r="S28" s="502">
        <f t="shared" si="14"/>
        <v>8.8632516364488083</v>
      </c>
      <c r="T28" s="502">
        <f t="shared" si="15"/>
        <v>0.40007331954563541</v>
      </c>
      <c r="U28" s="502">
        <f t="shared" si="16"/>
        <v>345.66812533110357</v>
      </c>
    </row>
    <row r="29" spans="1:21" s="69" customFormat="1" ht="18" x14ac:dyDescent="0.3">
      <c r="A29" s="331" t="s">
        <v>684</v>
      </c>
      <c r="B29" s="316" t="s">
        <v>685</v>
      </c>
      <c r="C29" s="315" t="s">
        <v>699</v>
      </c>
      <c r="D29" s="315">
        <v>1640.56</v>
      </c>
      <c r="E29" s="315">
        <v>712.13</v>
      </c>
      <c r="F29" s="315">
        <f t="shared" si="6"/>
        <v>928.43</v>
      </c>
      <c r="G29" s="496">
        <f t="shared" si="5"/>
        <v>928.43</v>
      </c>
      <c r="H29" s="497">
        <v>187.14</v>
      </c>
      <c r="I29" s="498">
        <f t="shared" si="7"/>
        <v>1640.56</v>
      </c>
      <c r="J29" s="498">
        <f t="shared" si="8"/>
        <v>712.13</v>
      </c>
      <c r="K29" s="498">
        <f>H29*'Labor Adjustment'!$B$10</f>
        <v>138.00194092042932</v>
      </c>
      <c r="L29" s="499">
        <f t="shared" si="9"/>
        <v>928.43</v>
      </c>
      <c r="M29" s="499">
        <f t="shared" si="10"/>
        <v>1778.5619409204292</v>
      </c>
      <c r="N29" s="499">
        <f t="shared" si="11"/>
        <v>1268.5451076558102</v>
      </c>
      <c r="O29" s="500">
        <v>0.05</v>
      </c>
      <c r="P29" s="501">
        <v>12</v>
      </c>
      <c r="Q29" s="501">
        <f t="shared" si="12"/>
        <v>4</v>
      </c>
      <c r="R29" s="502">
        <f t="shared" si="13"/>
        <v>3.5459505041623602</v>
      </c>
      <c r="S29" s="502">
        <f t="shared" si="14"/>
        <v>8.8632516364488083</v>
      </c>
      <c r="T29" s="502">
        <f t="shared" si="15"/>
        <v>0.40007331954563541</v>
      </c>
      <c r="U29" s="502">
        <f t="shared" si="16"/>
        <v>340.11510765581016</v>
      </c>
    </row>
    <row r="30" spans="1:21" s="69" customFormat="1" ht="18" x14ac:dyDescent="0.3">
      <c r="A30" s="331" t="s">
        <v>686</v>
      </c>
      <c r="B30" s="316" t="s">
        <v>687</v>
      </c>
      <c r="C30" s="315" t="s">
        <v>700</v>
      </c>
      <c r="D30" s="315">
        <v>1457.74</v>
      </c>
      <c r="E30" s="315">
        <v>702.88</v>
      </c>
      <c r="F30" s="315">
        <f t="shared" si="6"/>
        <v>754.86</v>
      </c>
      <c r="G30" s="496">
        <f t="shared" si="5"/>
        <v>754.86</v>
      </c>
      <c r="H30" s="497">
        <v>187.14</v>
      </c>
      <c r="I30" s="498">
        <f t="shared" si="7"/>
        <v>1457.74</v>
      </c>
      <c r="J30" s="498">
        <f t="shared" si="8"/>
        <v>702.88</v>
      </c>
      <c r="K30" s="498">
        <f>H30*'Labor Adjustment'!$B$10</f>
        <v>138.00194092042932</v>
      </c>
      <c r="L30" s="499">
        <f t="shared" si="9"/>
        <v>754.86</v>
      </c>
      <c r="M30" s="499">
        <f t="shared" si="10"/>
        <v>1595.7419409204294</v>
      </c>
      <c r="N30" s="499">
        <f t="shared" si="11"/>
        <v>1091.274429450013</v>
      </c>
      <c r="O30" s="500">
        <v>0.05</v>
      </c>
      <c r="P30" s="501">
        <v>12</v>
      </c>
      <c r="Q30" s="501">
        <f t="shared" si="12"/>
        <v>4</v>
      </c>
      <c r="R30" s="502">
        <f t="shared" si="13"/>
        <v>3.5459505041623602</v>
      </c>
      <c r="S30" s="502">
        <f t="shared" si="14"/>
        <v>8.8632516364488083</v>
      </c>
      <c r="T30" s="502">
        <f t="shared" si="15"/>
        <v>0.40007331954563541</v>
      </c>
      <c r="U30" s="502">
        <f t="shared" si="16"/>
        <v>336.41442945001302</v>
      </c>
    </row>
    <row r="31" spans="1:21" s="69" customFormat="1" ht="18" x14ac:dyDescent="0.3">
      <c r="A31" s="331" t="s">
        <v>688</v>
      </c>
      <c r="B31" s="316" t="s">
        <v>689</v>
      </c>
      <c r="C31" s="315" t="s">
        <v>701</v>
      </c>
      <c r="D31" s="315">
        <v>1225.06</v>
      </c>
      <c r="E31" s="315">
        <v>695.17</v>
      </c>
      <c r="F31" s="315">
        <f t="shared" si="6"/>
        <v>529.89</v>
      </c>
      <c r="G31" s="496">
        <f t="shared" si="5"/>
        <v>529.89</v>
      </c>
      <c r="H31" s="497">
        <v>187.14</v>
      </c>
      <c r="I31" s="498">
        <f t="shared" si="7"/>
        <v>1225.06</v>
      </c>
      <c r="J31" s="498">
        <f t="shared" si="8"/>
        <v>695.17</v>
      </c>
      <c r="K31" s="498">
        <f>H31*'Labor Adjustment'!$B$10</f>
        <v>138.00194092042932</v>
      </c>
      <c r="L31" s="499">
        <f t="shared" si="9"/>
        <v>529.89</v>
      </c>
      <c r="M31" s="499">
        <f t="shared" si="10"/>
        <v>1363.0619409204292</v>
      </c>
      <c r="N31" s="499">
        <f t="shared" si="11"/>
        <v>863.21986415631613</v>
      </c>
      <c r="O31" s="500">
        <v>0.05</v>
      </c>
      <c r="P31" s="501">
        <v>12</v>
      </c>
      <c r="Q31" s="501">
        <f t="shared" si="12"/>
        <v>4</v>
      </c>
      <c r="R31" s="502">
        <f t="shared" si="13"/>
        <v>3.5459505041623602</v>
      </c>
      <c r="S31" s="502">
        <f t="shared" si="14"/>
        <v>8.8632516364488083</v>
      </c>
      <c r="T31" s="502">
        <f t="shared" si="15"/>
        <v>0.40007331954563541</v>
      </c>
      <c r="U31" s="502">
        <f t="shared" si="16"/>
        <v>333.32986415631615</v>
      </c>
    </row>
    <row r="32" spans="1:21" s="69" customFormat="1" ht="18" x14ac:dyDescent="0.3">
      <c r="A32" s="331" t="s">
        <v>690</v>
      </c>
      <c r="B32" s="316" t="s">
        <v>691</v>
      </c>
      <c r="C32" s="315" t="s">
        <v>702</v>
      </c>
      <c r="D32" s="315">
        <v>1003.46</v>
      </c>
      <c r="E32" s="315">
        <v>687.46</v>
      </c>
      <c r="F32" s="315">
        <f t="shared" si="6"/>
        <v>316</v>
      </c>
      <c r="G32" s="496">
        <f t="shared" si="5"/>
        <v>316</v>
      </c>
      <c r="H32" s="497">
        <v>187.14</v>
      </c>
      <c r="I32" s="498">
        <f t="shared" si="7"/>
        <v>1003.46</v>
      </c>
      <c r="J32" s="498">
        <f t="shared" si="8"/>
        <v>687.46</v>
      </c>
      <c r="K32" s="498">
        <f>H32*'Labor Adjustment'!$B$10</f>
        <v>138.00194092042932</v>
      </c>
      <c r="L32" s="499">
        <f t="shared" si="9"/>
        <v>316</v>
      </c>
      <c r="M32" s="499">
        <f t="shared" si="10"/>
        <v>1141.4619409204292</v>
      </c>
      <c r="N32" s="499">
        <f t="shared" si="11"/>
        <v>646.24529886261939</v>
      </c>
      <c r="O32" s="500">
        <v>0.05</v>
      </c>
      <c r="P32" s="501">
        <v>12</v>
      </c>
      <c r="Q32" s="501">
        <f t="shared" si="12"/>
        <v>4</v>
      </c>
      <c r="R32" s="502">
        <f t="shared" si="13"/>
        <v>3.5459505041623602</v>
      </c>
      <c r="S32" s="502">
        <f t="shared" si="14"/>
        <v>8.8632516364488083</v>
      </c>
      <c r="T32" s="502">
        <f t="shared" si="15"/>
        <v>0.40007331954563541</v>
      </c>
      <c r="U32" s="502">
        <f t="shared" si="16"/>
        <v>330.24529886261934</v>
      </c>
    </row>
    <row r="33" spans="1:30" s="69" customFormat="1" ht="18" x14ac:dyDescent="0.3">
      <c r="A33" s="331" t="s">
        <v>692</v>
      </c>
      <c r="B33" s="316" t="s">
        <v>693</v>
      </c>
      <c r="C33" s="315" t="s">
        <v>703</v>
      </c>
      <c r="D33" s="315">
        <v>781.86</v>
      </c>
      <c r="E33" s="315">
        <v>679.75</v>
      </c>
      <c r="F33" s="315">
        <f t="shared" si="6"/>
        <v>102.11000000000001</v>
      </c>
      <c r="G33" s="496">
        <f t="shared" si="5"/>
        <v>102.11000000000001</v>
      </c>
      <c r="H33" s="497">
        <v>187.14</v>
      </c>
      <c r="I33" s="498">
        <f t="shared" si="7"/>
        <v>781.86</v>
      </c>
      <c r="J33" s="498">
        <f t="shared" si="8"/>
        <v>679.75</v>
      </c>
      <c r="K33" s="498">
        <f>H33*'Labor Adjustment'!$B$10</f>
        <v>138.00194092042932</v>
      </c>
      <c r="L33" s="499">
        <f t="shared" si="9"/>
        <v>102.11000000000001</v>
      </c>
      <c r="M33" s="499">
        <f t="shared" si="10"/>
        <v>919.86194092042933</v>
      </c>
      <c r="N33" s="499">
        <f t="shared" si="11"/>
        <v>429.27073356892248</v>
      </c>
      <c r="O33" s="500">
        <v>0.05</v>
      </c>
      <c r="P33" s="501">
        <v>12</v>
      </c>
      <c r="Q33" s="501">
        <f t="shared" si="12"/>
        <v>4</v>
      </c>
      <c r="R33" s="502">
        <f t="shared" si="13"/>
        <v>3.5459505041623602</v>
      </c>
      <c r="S33" s="502">
        <f t="shared" si="14"/>
        <v>8.8632516364488083</v>
      </c>
      <c r="T33" s="502">
        <f t="shared" si="15"/>
        <v>0.40007331954563541</v>
      </c>
      <c r="U33" s="502">
        <f t="shared" si="16"/>
        <v>327.16073356892247</v>
      </c>
    </row>
    <row r="34" spans="1:30" s="69" customFormat="1" ht="18" x14ac:dyDescent="0.3">
      <c r="A34" s="331" t="s">
        <v>694</v>
      </c>
      <c r="B34" s="316" t="s">
        <v>695</v>
      </c>
      <c r="C34" s="315" t="s">
        <v>704</v>
      </c>
      <c r="D34" s="315">
        <v>754.16</v>
      </c>
      <c r="E34" s="315">
        <v>675.12</v>
      </c>
      <c r="F34" s="315">
        <f t="shared" si="6"/>
        <v>79.039999999999964</v>
      </c>
      <c r="G34" s="496">
        <f t="shared" si="5"/>
        <v>79.039999999999964</v>
      </c>
      <c r="H34" s="497">
        <v>187.14</v>
      </c>
      <c r="I34" s="498">
        <f t="shared" si="7"/>
        <v>754.16</v>
      </c>
      <c r="J34" s="498">
        <f t="shared" si="8"/>
        <v>675.12</v>
      </c>
      <c r="K34" s="498">
        <f>H34*'Labor Adjustment'!$B$10</f>
        <v>138.00194092042932</v>
      </c>
      <c r="L34" s="499">
        <f t="shared" si="9"/>
        <v>79.039999999999964</v>
      </c>
      <c r="M34" s="499">
        <f t="shared" si="10"/>
        <v>892.16194092042929</v>
      </c>
      <c r="N34" s="499">
        <f t="shared" si="11"/>
        <v>404.34839409942617</v>
      </c>
      <c r="O34" s="500">
        <v>0.05</v>
      </c>
      <c r="P34" s="501">
        <v>12</v>
      </c>
      <c r="Q34" s="501">
        <f t="shared" si="12"/>
        <v>4</v>
      </c>
      <c r="R34" s="502">
        <f t="shared" si="13"/>
        <v>3.5459505041623602</v>
      </c>
      <c r="S34" s="502">
        <f t="shared" si="14"/>
        <v>8.8632516364488083</v>
      </c>
      <c r="T34" s="502">
        <f t="shared" si="15"/>
        <v>0.40007331954563541</v>
      </c>
      <c r="U34" s="502">
        <f t="shared" si="16"/>
        <v>325.30839409942621</v>
      </c>
    </row>
    <row r="35" spans="1:30" ht="21.6" thickBot="1" x14ac:dyDescent="0.4">
      <c r="A35" s="712" t="s">
        <v>770</v>
      </c>
      <c r="B35" s="713"/>
      <c r="C35" s="713"/>
      <c r="D35" s="713"/>
      <c r="E35" s="713"/>
      <c r="F35" s="713"/>
      <c r="G35" s="713"/>
      <c r="H35" s="714"/>
      <c r="I35" s="312"/>
      <c r="J35" s="312"/>
      <c r="K35" s="317"/>
      <c r="L35" s="317"/>
      <c r="M35" s="317"/>
      <c r="N35" s="317"/>
    </row>
    <row r="36" spans="1:30" ht="18.600000000000001" thickBot="1" x14ac:dyDescent="0.4">
      <c r="A36" s="312"/>
      <c r="B36" s="312"/>
      <c r="C36" s="312"/>
      <c r="D36" s="312"/>
      <c r="E36" s="312"/>
      <c r="F36" s="312"/>
      <c r="G36" s="312"/>
      <c r="H36" s="312"/>
      <c r="I36" s="312"/>
      <c r="J36" s="312"/>
      <c r="K36" s="317"/>
      <c r="L36" s="317"/>
      <c r="M36" s="317"/>
      <c r="N36" s="317"/>
    </row>
    <row r="37" spans="1:30" s="42" customFormat="1" ht="23.4" x14ac:dyDescent="0.45">
      <c r="A37" s="709" t="s">
        <v>245</v>
      </c>
      <c r="B37" s="710"/>
      <c r="C37" s="710"/>
      <c r="D37" s="710"/>
      <c r="E37" s="710"/>
      <c r="F37" s="710"/>
      <c r="G37" s="710"/>
      <c r="H37" s="711"/>
      <c r="I37" s="703" t="s">
        <v>983</v>
      </c>
      <c r="J37" s="703"/>
      <c r="K37" s="703"/>
      <c r="L37" s="703"/>
      <c r="M37" s="703"/>
      <c r="N37" s="704"/>
      <c r="O37" s="697" t="s">
        <v>898</v>
      </c>
      <c r="P37" s="698"/>
      <c r="Q37" s="698"/>
      <c r="R37" s="698"/>
      <c r="S37" s="699"/>
      <c r="T37" s="700" t="s">
        <v>915</v>
      </c>
      <c r="U37" s="701"/>
      <c r="V37" s="701"/>
      <c r="W37" s="701"/>
      <c r="X37" s="701"/>
      <c r="Y37" s="701"/>
      <c r="Z37" s="701"/>
      <c r="AA37" s="702"/>
    </row>
    <row r="38" spans="1:30" s="554" customFormat="1" ht="72" x14ac:dyDescent="0.35">
      <c r="A38" s="550" t="s">
        <v>169</v>
      </c>
      <c r="B38" s="551" t="s">
        <v>170</v>
      </c>
      <c r="C38" s="551" t="s">
        <v>29</v>
      </c>
      <c r="D38" s="551" t="s">
        <v>233</v>
      </c>
      <c r="E38" s="551" t="s">
        <v>234</v>
      </c>
      <c r="F38" s="552" t="s">
        <v>173</v>
      </c>
      <c r="G38" s="552" t="s">
        <v>552</v>
      </c>
      <c r="H38" s="553" t="s">
        <v>925</v>
      </c>
      <c r="I38" s="202" t="s">
        <v>919</v>
      </c>
      <c r="J38" s="173" t="s">
        <v>902</v>
      </c>
      <c r="K38" s="173" t="s">
        <v>1032</v>
      </c>
      <c r="L38" s="173" t="s">
        <v>904</v>
      </c>
      <c r="M38" s="173" t="s">
        <v>905</v>
      </c>
      <c r="N38" s="217" t="s">
        <v>906</v>
      </c>
      <c r="O38" s="387" t="s">
        <v>172</v>
      </c>
      <c r="P38" s="144" t="s">
        <v>902</v>
      </c>
      <c r="Q38" s="143" t="s">
        <v>1031</v>
      </c>
      <c r="R38" s="143" t="s">
        <v>904</v>
      </c>
      <c r="S38" s="323" t="s">
        <v>905</v>
      </c>
      <c r="T38" s="318" t="s">
        <v>907</v>
      </c>
      <c r="U38" s="168" t="s">
        <v>910</v>
      </c>
      <c r="V38" s="168" t="s">
        <v>911</v>
      </c>
      <c r="W38" s="207" t="s">
        <v>908</v>
      </c>
      <c r="X38" s="207" t="s">
        <v>909</v>
      </c>
      <c r="Y38" s="207" t="s">
        <v>917</v>
      </c>
      <c r="Z38" s="207" t="s">
        <v>912</v>
      </c>
      <c r="AA38" s="319" t="s">
        <v>906</v>
      </c>
    </row>
    <row r="39" spans="1:30" s="42" customFormat="1" ht="18" x14ac:dyDescent="0.3">
      <c r="A39" s="329" t="s">
        <v>246</v>
      </c>
      <c r="B39" s="315" t="s">
        <v>247</v>
      </c>
      <c r="C39" s="315" t="s">
        <v>248</v>
      </c>
      <c r="D39" s="315">
        <v>361.53</v>
      </c>
      <c r="E39" s="315">
        <v>174.25</v>
      </c>
      <c r="F39" s="315">
        <f t="shared" ref="F39:F52" si="17">D39-E39</f>
        <v>187.27999999999997</v>
      </c>
      <c r="G39" s="496">
        <f>F39*Inflation!$D$4</f>
        <v>190.83831999999995</v>
      </c>
      <c r="H39" s="503">
        <v>68</v>
      </c>
      <c r="I39" s="498">
        <f>O39*Inflation!$D$4</f>
        <v>368.39906999999994</v>
      </c>
      <c r="J39" s="498">
        <f>P39*Inflation!$D$4</f>
        <v>177.56074999999998</v>
      </c>
      <c r="K39" s="498">
        <f>Q39*Inflation!$D$4</f>
        <v>51.097736936295767</v>
      </c>
      <c r="L39" s="498">
        <f>R39*Inflation!$D$4</f>
        <v>190.83831999999995</v>
      </c>
      <c r="M39" s="498">
        <f>S39*Inflation!$D$4</f>
        <v>419.49680693629568</v>
      </c>
      <c r="N39" s="504">
        <f>AA39*Inflation!$D$4</f>
        <v>263.22534772830937</v>
      </c>
      <c r="O39" s="505">
        <f>D39</f>
        <v>361.53</v>
      </c>
      <c r="P39" s="496">
        <f>E39</f>
        <v>174.25</v>
      </c>
      <c r="Q39" s="496">
        <f>H39*'Labor Adjustment'!$B$10</f>
        <v>50.144982273106741</v>
      </c>
      <c r="R39" s="496">
        <f>O39-P39</f>
        <v>187.27999999999997</v>
      </c>
      <c r="S39" s="503">
        <f>O39+Q39</f>
        <v>411.67498227310671</v>
      </c>
      <c r="T39" s="506">
        <v>0.05</v>
      </c>
      <c r="U39" s="501">
        <v>12</v>
      </c>
      <c r="V39" s="501">
        <f>U39/3</f>
        <v>4</v>
      </c>
      <c r="W39" s="502">
        <f>((1+T39)^V39-1)/(T39*(1+T39)^V39)</f>
        <v>3.5459505041623602</v>
      </c>
      <c r="X39" s="502">
        <f>((1+T39)^U39-1)/(T39*(1+T39)^U39)</f>
        <v>8.8632516364488083</v>
      </c>
      <c r="Y39" s="502">
        <f>W39/X39</f>
        <v>0.40007331954563541</v>
      </c>
      <c r="Z39" s="502">
        <f t="shared" ref="Z39:Z52" si="18">J39*Y39</f>
        <v>71.037318673512672</v>
      </c>
      <c r="AA39" s="507">
        <f>Z39+R39</f>
        <v>258.31731867351266</v>
      </c>
      <c r="AB39" s="494"/>
      <c r="AC39" s="494"/>
      <c r="AD39" s="494"/>
    </row>
    <row r="40" spans="1:30" s="42" customFormat="1" ht="18" x14ac:dyDescent="0.3">
      <c r="A40" s="329" t="s">
        <v>249</v>
      </c>
      <c r="B40" s="315" t="s">
        <v>250</v>
      </c>
      <c r="C40" s="315" t="s">
        <v>251</v>
      </c>
      <c r="D40" s="315">
        <v>378.06</v>
      </c>
      <c r="E40" s="315">
        <v>174.25</v>
      </c>
      <c r="F40" s="315">
        <f t="shared" si="17"/>
        <v>203.81</v>
      </c>
      <c r="G40" s="496">
        <f>F40*Inflation!$D$4</f>
        <v>207.68238999999997</v>
      </c>
      <c r="H40" s="503">
        <v>68</v>
      </c>
      <c r="I40" s="498">
        <f t="shared" ref="I40:I52" si="19">D40</f>
        <v>378.06</v>
      </c>
      <c r="J40" s="498">
        <f t="shared" ref="J40:J52" si="20">E40</f>
        <v>174.25</v>
      </c>
      <c r="K40" s="498">
        <f>Q40*Inflation!$D$4</f>
        <v>51.097736936295767</v>
      </c>
      <c r="L40" s="499">
        <f t="shared" ref="L40:L52" si="21">I40-J40</f>
        <v>203.81</v>
      </c>
      <c r="M40" s="499">
        <f t="shared" ref="M40:M52" si="22">I40+K40</f>
        <v>429.15773693629575</v>
      </c>
      <c r="N40" s="504">
        <f>AA40*Inflation!$D$4</f>
        <v>278.71970867351268</v>
      </c>
      <c r="O40" s="505">
        <f t="shared" ref="O40:O52" si="23">D40</f>
        <v>378.06</v>
      </c>
      <c r="P40" s="496">
        <f t="shared" ref="P40:P52" si="24">E40</f>
        <v>174.25</v>
      </c>
      <c r="Q40" s="496">
        <f>H40*'Labor Adjustment'!$B$10</f>
        <v>50.144982273106741</v>
      </c>
      <c r="R40" s="496">
        <f t="shared" ref="R40:R52" si="25">O40-P40</f>
        <v>203.81</v>
      </c>
      <c r="S40" s="503">
        <f t="shared" ref="S40:S52" si="26">O40+Q40</f>
        <v>428.20498227310674</v>
      </c>
      <c r="T40" s="506">
        <v>0.05</v>
      </c>
      <c r="U40" s="501">
        <v>12</v>
      </c>
      <c r="V40" s="501">
        <f t="shared" ref="V40:V52" si="27">U40/3</f>
        <v>4</v>
      </c>
      <c r="W40" s="502">
        <f t="shared" ref="W40:W52" si="28">((1+T40)^V40-1)/(T40*(1+T40)^V40)</f>
        <v>3.5459505041623602</v>
      </c>
      <c r="X40" s="502">
        <f t="shared" ref="X40:X52" si="29">((1+T40)^U40-1)/(T40*(1+T40)^U40)</f>
        <v>8.8632516364488083</v>
      </c>
      <c r="Y40" s="502">
        <f t="shared" ref="Y40:Y52" si="30">W40/X40</f>
        <v>0.40007331954563541</v>
      </c>
      <c r="Z40" s="502">
        <f t="shared" si="18"/>
        <v>69.712775930826965</v>
      </c>
      <c r="AA40" s="507">
        <f t="shared" ref="AA40:AA52" si="31">Z40+R40</f>
        <v>273.52277593082698</v>
      </c>
      <c r="AB40" s="494"/>
      <c r="AC40" s="494"/>
      <c r="AD40" s="494"/>
    </row>
    <row r="41" spans="1:30" s="42" customFormat="1" ht="18" x14ac:dyDescent="0.3">
      <c r="A41" s="329" t="s">
        <v>252</v>
      </c>
      <c r="B41" s="315" t="s">
        <v>253</v>
      </c>
      <c r="C41" s="315" t="s">
        <v>254</v>
      </c>
      <c r="D41" s="315">
        <v>411.44</v>
      </c>
      <c r="E41" s="315">
        <v>174.25</v>
      </c>
      <c r="F41" s="315">
        <f t="shared" si="17"/>
        <v>237.19</v>
      </c>
      <c r="G41" s="496">
        <f>F41*Inflation!$D$4</f>
        <v>241.69660999999996</v>
      </c>
      <c r="H41" s="503">
        <v>68</v>
      </c>
      <c r="I41" s="498">
        <f t="shared" si="19"/>
        <v>411.44</v>
      </c>
      <c r="J41" s="498">
        <f t="shared" si="20"/>
        <v>174.25</v>
      </c>
      <c r="K41" s="498">
        <f>Q41*Inflation!$D$4</f>
        <v>51.097736936295767</v>
      </c>
      <c r="L41" s="499">
        <f t="shared" si="21"/>
        <v>237.19</v>
      </c>
      <c r="M41" s="499">
        <f t="shared" si="22"/>
        <v>462.53773693629574</v>
      </c>
      <c r="N41" s="504">
        <f>AA41*Inflation!$D$4</f>
        <v>312.73392867351265</v>
      </c>
      <c r="O41" s="505">
        <f t="shared" si="23"/>
        <v>411.44</v>
      </c>
      <c r="P41" s="496">
        <f t="shared" si="24"/>
        <v>174.25</v>
      </c>
      <c r="Q41" s="496">
        <f>H41*'Labor Adjustment'!$B$10</f>
        <v>50.144982273106741</v>
      </c>
      <c r="R41" s="496">
        <f t="shared" si="25"/>
        <v>237.19</v>
      </c>
      <c r="S41" s="503">
        <f t="shared" si="26"/>
        <v>461.58498227310673</v>
      </c>
      <c r="T41" s="506">
        <v>0.05</v>
      </c>
      <c r="U41" s="501">
        <v>12</v>
      </c>
      <c r="V41" s="501">
        <f t="shared" si="27"/>
        <v>4</v>
      </c>
      <c r="W41" s="502">
        <f t="shared" si="28"/>
        <v>3.5459505041623602</v>
      </c>
      <c r="X41" s="502">
        <f t="shared" si="29"/>
        <v>8.8632516364488083</v>
      </c>
      <c r="Y41" s="502">
        <f t="shared" si="30"/>
        <v>0.40007331954563541</v>
      </c>
      <c r="Z41" s="502">
        <f t="shared" si="18"/>
        <v>69.712775930826965</v>
      </c>
      <c r="AA41" s="507">
        <f t="shared" si="31"/>
        <v>306.90277593082698</v>
      </c>
      <c r="AB41" s="494"/>
      <c r="AC41" s="494"/>
      <c r="AD41" s="494"/>
    </row>
    <row r="42" spans="1:30" s="42" customFormat="1" ht="18" x14ac:dyDescent="0.3">
      <c r="A42" s="329" t="s">
        <v>255</v>
      </c>
      <c r="B42" s="315" t="s">
        <v>256</v>
      </c>
      <c r="C42" s="315" t="s">
        <v>257</v>
      </c>
      <c r="D42" s="315">
        <v>448.51</v>
      </c>
      <c r="E42" s="315">
        <v>174.25</v>
      </c>
      <c r="F42" s="315">
        <f t="shared" si="17"/>
        <v>274.26</v>
      </c>
      <c r="G42" s="496">
        <f>F42*Inflation!$D$4</f>
        <v>279.47093999999998</v>
      </c>
      <c r="H42" s="503">
        <v>68</v>
      </c>
      <c r="I42" s="498">
        <f t="shared" si="19"/>
        <v>448.51</v>
      </c>
      <c r="J42" s="498">
        <f t="shared" si="20"/>
        <v>174.25</v>
      </c>
      <c r="K42" s="498">
        <f>Q42*Inflation!$D$4</f>
        <v>51.097736936295767</v>
      </c>
      <c r="L42" s="499">
        <f t="shared" si="21"/>
        <v>274.26</v>
      </c>
      <c r="M42" s="499">
        <f t="shared" si="22"/>
        <v>499.60773693629574</v>
      </c>
      <c r="N42" s="504">
        <f>AA42*Inflation!$D$4</f>
        <v>350.50825867351267</v>
      </c>
      <c r="O42" s="505">
        <f t="shared" si="23"/>
        <v>448.51</v>
      </c>
      <c r="P42" s="496">
        <f t="shared" si="24"/>
        <v>174.25</v>
      </c>
      <c r="Q42" s="496">
        <f>H42*'Labor Adjustment'!$B$10</f>
        <v>50.144982273106741</v>
      </c>
      <c r="R42" s="496">
        <f t="shared" si="25"/>
        <v>274.26</v>
      </c>
      <c r="S42" s="503">
        <f t="shared" si="26"/>
        <v>498.65498227310673</v>
      </c>
      <c r="T42" s="506">
        <v>0.05</v>
      </c>
      <c r="U42" s="501">
        <v>12</v>
      </c>
      <c r="V42" s="501">
        <f t="shared" si="27"/>
        <v>4</v>
      </c>
      <c r="W42" s="502">
        <f t="shared" si="28"/>
        <v>3.5459505041623602</v>
      </c>
      <c r="X42" s="502">
        <f t="shared" si="29"/>
        <v>8.8632516364488083</v>
      </c>
      <c r="Y42" s="502">
        <f t="shared" si="30"/>
        <v>0.40007331954563541</v>
      </c>
      <c r="Z42" s="502">
        <f t="shared" si="18"/>
        <v>69.712775930826965</v>
      </c>
      <c r="AA42" s="507">
        <f t="shared" si="31"/>
        <v>343.97277593082697</v>
      </c>
      <c r="AB42" s="494"/>
      <c r="AC42" s="494"/>
      <c r="AD42" s="494"/>
    </row>
    <row r="43" spans="1:30" s="42" customFormat="1" ht="18" x14ac:dyDescent="0.3">
      <c r="A43" s="329" t="s">
        <v>258</v>
      </c>
      <c r="B43" s="315" t="s">
        <v>259</v>
      </c>
      <c r="C43" s="315" t="s">
        <v>260</v>
      </c>
      <c r="D43" s="315">
        <v>505.93</v>
      </c>
      <c r="E43" s="315">
        <v>214.74</v>
      </c>
      <c r="F43" s="315">
        <f t="shared" si="17"/>
        <v>291.19</v>
      </c>
      <c r="G43" s="496">
        <f>F43*Inflation!$D$4</f>
        <v>296.72260999999997</v>
      </c>
      <c r="H43" s="503">
        <v>68</v>
      </c>
      <c r="I43" s="498">
        <f t="shared" si="19"/>
        <v>505.93</v>
      </c>
      <c r="J43" s="498">
        <f t="shared" si="20"/>
        <v>214.74</v>
      </c>
      <c r="K43" s="498">
        <f>Q43*Inflation!$D$4</f>
        <v>51.097736936295767</v>
      </c>
      <c r="L43" s="499">
        <f t="shared" si="21"/>
        <v>291.19</v>
      </c>
      <c r="M43" s="499">
        <f t="shared" si="22"/>
        <v>557.02773693629581</v>
      </c>
      <c r="N43" s="504">
        <f>AA43*Inflation!$D$4</f>
        <v>384.2666777873751</v>
      </c>
      <c r="O43" s="505">
        <f t="shared" si="23"/>
        <v>505.93</v>
      </c>
      <c r="P43" s="496">
        <f t="shared" si="24"/>
        <v>214.74</v>
      </c>
      <c r="Q43" s="496">
        <f>H43*'Labor Adjustment'!$B$10</f>
        <v>50.144982273106741</v>
      </c>
      <c r="R43" s="496">
        <f t="shared" si="25"/>
        <v>291.19</v>
      </c>
      <c r="S43" s="503">
        <f t="shared" si="26"/>
        <v>556.0749822731068</v>
      </c>
      <c r="T43" s="506">
        <v>0.05</v>
      </c>
      <c r="U43" s="501">
        <v>12</v>
      </c>
      <c r="V43" s="501">
        <f t="shared" si="27"/>
        <v>4</v>
      </c>
      <c r="W43" s="502">
        <f t="shared" si="28"/>
        <v>3.5459505041623602</v>
      </c>
      <c r="X43" s="502">
        <f t="shared" si="29"/>
        <v>8.8632516364488083</v>
      </c>
      <c r="Y43" s="502">
        <f t="shared" si="30"/>
        <v>0.40007331954563541</v>
      </c>
      <c r="Z43" s="502">
        <f t="shared" si="18"/>
        <v>85.911744639229752</v>
      </c>
      <c r="AA43" s="507">
        <f t="shared" si="31"/>
        <v>377.10174463922976</v>
      </c>
      <c r="AB43" s="494"/>
      <c r="AC43" s="494"/>
      <c r="AD43" s="494"/>
    </row>
    <row r="44" spans="1:30" s="42" customFormat="1" ht="18" x14ac:dyDescent="0.3">
      <c r="A44" s="329" t="s">
        <v>261</v>
      </c>
      <c r="B44" s="315" t="s">
        <v>262</v>
      </c>
      <c r="C44" s="315" t="s">
        <v>263</v>
      </c>
      <c r="D44" s="315">
        <v>667.97</v>
      </c>
      <c r="E44" s="315">
        <v>225.67</v>
      </c>
      <c r="F44" s="315">
        <f t="shared" si="17"/>
        <v>442.30000000000007</v>
      </c>
      <c r="G44" s="496">
        <f>F44*Inflation!$D$4</f>
        <v>450.70370000000003</v>
      </c>
      <c r="H44" s="503">
        <v>68</v>
      </c>
      <c r="I44" s="498">
        <f t="shared" si="19"/>
        <v>667.97</v>
      </c>
      <c r="J44" s="498">
        <f t="shared" si="20"/>
        <v>225.67</v>
      </c>
      <c r="K44" s="498">
        <f>Q44*Inflation!$D$4</f>
        <v>51.097736936295767</v>
      </c>
      <c r="L44" s="499">
        <f t="shared" si="21"/>
        <v>442.30000000000007</v>
      </c>
      <c r="M44" s="499">
        <f t="shared" si="22"/>
        <v>719.06773693629577</v>
      </c>
      <c r="N44" s="504">
        <f>AA44*Inflation!$D$4</f>
        <v>542.70365239627893</v>
      </c>
      <c r="O44" s="505">
        <f t="shared" si="23"/>
        <v>667.97</v>
      </c>
      <c r="P44" s="496">
        <f t="shared" si="24"/>
        <v>225.67</v>
      </c>
      <c r="Q44" s="496">
        <f>H44*'Labor Adjustment'!$B$10</f>
        <v>50.144982273106741</v>
      </c>
      <c r="R44" s="496">
        <f t="shared" si="25"/>
        <v>442.30000000000007</v>
      </c>
      <c r="S44" s="503">
        <f t="shared" si="26"/>
        <v>718.11498227310676</v>
      </c>
      <c r="T44" s="506">
        <v>0.05</v>
      </c>
      <c r="U44" s="501">
        <v>12</v>
      </c>
      <c r="V44" s="501">
        <f t="shared" si="27"/>
        <v>4</v>
      </c>
      <c r="W44" s="502">
        <f t="shared" si="28"/>
        <v>3.5459505041623602</v>
      </c>
      <c r="X44" s="502">
        <f t="shared" si="29"/>
        <v>8.8632516364488083</v>
      </c>
      <c r="Y44" s="502">
        <f t="shared" si="30"/>
        <v>0.40007331954563541</v>
      </c>
      <c r="Z44" s="502">
        <f t="shared" si="18"/>
        <v>90.284546021863534</v>
      </c>
      <c r="AA44" s="507">
        <f t="shared" si="31"/>
        <v>532.58454602186362</v>
      </c>
      <c r="AB44" s="494"/>
      <c r="AC44" s="494"/>
      <c r="AD44" s="494"/>
    </row>
    <row r="45" spans="1:30" s="42" customFormat="1" ht="18" x14ac:dyDescent="0.3">
      <c r="A45" s="329" t="s">
        <v>264</v>
      </c>
      <c r="B45" s="315" t="s">
        <v>265</v>
      </c>
      <c r="C45" s="315" t="s">
        <v>266</v>
      </c>
      <c r="D45" s="315">
        <v>814.73</v>
      </c>
      <c r="E45" s="315">
        <v>268.18</v>
      </c>
      <c r="F45" s="315">
        <f t="shared" si="17"/>
        <v>546.54999999999995</v>
      </c>
      <c r="G45" s="496">
        <f>F45*Inflation!$D$4</f>
        <v>556.93444999999986</v>
      </c>
      <c r="H45" s="503">
        <v>68</v>
      </c>
      <c r="I45" s="498">
        <f t="shared" si="19"/>
        <v>814.73</v>
      </c>
      <c r="J45" s="498">
        <f t="shared" si="20"/>
        <v>268.18</v>
      </c>
      <c r="K45" s="498">
        <f>Q45*Inflation!$D$4</f>
        <v>51.097736936295767</v>
      </c>
      <c r="L45" s="499">
        <f t="shared" si="21"/>
        <v>546.54999999999995</v>
      </c>
      <c r="M45" s="499">
        <f t="shared" si="22"/>
        <v>865.82773693629576</v>
      </c>
      <c r="N45" s="504">
        <f>AA45*Inflation!$D$4</f>
        <v>666.26465442962763</v>
      </c>
      <c r="O45" s="505">
        <f t="shared" si="23"/>
        <v>814.73</v>
      </c>
      <c r="P45" s="496">
        <f t="shared" si="24"/>
        <v>268.18</v>
      </c>
      <c r="Q45" s="496">
        <f>H45*'Labor Adjustment'!$B$10</f>
        <v>50.144982273106741</v>
      </c>
      <c r="R45" s="496">
        <f t="shared" si="25"/>
        <v>546.54999999999995</v>
      </c>
      <c r="S45" s="503">
        <f t="shared" si="26"/>
        <v>864.87498227310675</v>
      </c>
      <c r="T45" s="506">
        <v>0.05</v>
      </c>
      <c r="U45" s="501">
        <v>12</v>
      </c>
      <c r="V45" s="501">
        <f t="shared" si="27"/>
        <v>4</v>
      </c>
      <c r="W45" s="502">
        <f t="shared" si="28"/>
        <v>3.5459505041623602</v>
      </c>
      <c r="X45" s="502">
        <f t="shared" si="29"/>
        <v>8.8632516364488083</v>
      </c>
      <c r="Y45" s="502">
        <f t="shared" si="30"/>
        <v>0.40007331954563541</v>
      </c>
      <c r="Z45" s="502">
        <f t="shared" si="18"/>
        <v>107.29166283574851</v>
      </c>
      <c r="AA45" s="507">
        <f t="shared" si="31"/>
        <v>653.84166283574848</v>
      </c>
      <c r="AB45" s="494"/>
      <c r="AC45" s="494"/>
      <c r="AD45" s="494"/>
    </row>
    <row r="46" spans="1:30" s="42" customFormat="1" ht="18" x14ac:dyDescent="0.3">
      <c r="A46" s="329" t="s">
        <v>267</v>
      </c>
      <c r="B46" s="315" t="s">
        <v>268</v>
      </c>
      <c r="C46" s="315" t="s">
        <v>269</v>
      </c>
      <c r="D46" s="315">
        <v>777.6</v>
      </c>
      <c r="E46" s="315">
        <v>343.04</v>
      </c>
      <c r="F46" s="315">
        <f t="shared" si="17"/>
        <v>434.56</v>
      </c>
      <c r="G46" s="496">
        <f>F46*Inflation!$D$4</f>
        <v>442.81663999999995</v>
      </c>
      <c r="H46" s="503">
        <v>68</v>
      </c>
      <c r="I46" s="498">
        <f t="shared" si="19"/>
        <v>777.6</v>
      </c>
      <c r="J46" s="498">
        <f t="shared" si="20"/>
        <v>343.04</v>
      </c>
      <c r="K46" s="498">
        <f>Q46*Inflation!$D$4</f>
        <v>51.097736936295767</v>
      </c>
      <c r="L46" s="499">
        <f t="shared" si="21"/>
        <v>434.56</v>
      </c>
      <c r="M46" s="499">
        <f t="shared" si="22"/>
        <v>828.69773693629577</v>
      </c>
      <c r="N46" s="504">
        <f>AA46*Inflation!$D$4</f>
        <v>582.6653734161365</v>
      </c>
      <c r="O46" s="505">
        <f t="shared" si="23"/>
        <v>777.6</v>
      </c>
      <c r="P46" s="496">
        <f t="shared" si="24"/>
        <v>343.04</v>
      </c>
      <c r="Q46" s="496">
        <f>H46*'Labor Adjustment'!$B$10</f>
        <v>50.144982273106741</v>
      </c>
      <c r="R46" s="496">
        <f t="shared" si="25"/>
        <v>434.56</v>
      </c>
      <c r="S46" s="503">
        <f t="shared" si="26"/>
        <v>827.74498227310676</v>
      </c>
      <c r="T46" s="506">
        <v>0.05</v>
      </c>
      <c r="U46" s="501">
        <v>12</v>
      </c>
      <c r="V46" s="501">
        <f t="shared" si="27"/>
        <v>4</v>
      </c>
      <c r="W46" s="502">
        <f t="shared" si="28"/>
        <v>3.5459505041623602</v>
      </c>
      <c r="X46" s="502">
        <f t="shared" si="29"/>
        <v>8.8632516364488083</v>
      </c>
      <c r="Y46" s="502">
        <f t="shared" si="30"/>
        <v>0.40007331954563541</v>
      </c>
      <c r="Z46" s="502">
        <f t="shared" si="18"/>
        <v>137.24115153693478</v>
      </c>
      <c r="AA46" s="507">
        <f t="shared" si="31"/>
        <v>571.80115153693475</v>
      </c>
      <c r="AB46" s="494"/>
      <c r="AC46" s="494"/>
      <c r="AD46" s="494"/>
    </row>
    <row r="47" spans="1:30" s="42" customFormat="1" ht="18" x14ac:dyDescent="0.3">
      <c r="A47" s="329" t="s">
        <v>270</v>
      </c>
      <c r="B47" s="315" t="s">
        <v>247</v>
      </c>
      <c r="C47" s="315" t="s">
        <v>271</v>
      </c>
      <c r="D47" s="315">
        <v>324.72000000000003</v>
      </c>
      <c r="E47" s="315">
        <v>213.11</v>
      </c>
      <c r="F47" s="315">
        <f t="shared" si="17"/>
        <v>111.61000000000001</v>
      </c>
      <c r="G47" s="496">
        <f>F47*Inflation!$D$4</f>
        <v>113.73059000000001</v>
      </c>
      <c r="H47" s="503">
        <v>68</v>
      </c>
      <c r="I47" s="498">
        <f t="shared" si="19"/>
        <v>324.72000000000003</v>
      </c>
      <c r="J47" s="498">
        <f t="shared" si="20"/>
        <v>213.11</v>
      </c>
      <c r="K47" s="498">
        <f>Q47*Inflation!$D$4</f>
        <v>51.097736936295767</v>
      </c>
      <c r="L47" s="499">
        <f t="shared" si="21"/>
        <v>111.61000000000001</v>
      </c>
      <c r="M47" s="499">
        <f t="shared" si="22"/>
        <v>375.81773693629577</v>
      </c>
      <c r="N47" s="504">
        <f>AA47*Inflation!$D$4</f>
        <v>200.61014800580941</v>
      </c>
      <c r="O47" s="505">
        <f t="shared" si="23"/>
        <v>324.72000000000003</v>
      </c>
      <c r="P47" s="496">
        <f t="shared" si="24"/>
        <v>213.11</v>
      </c>
      <c r="Q47" s="496">
        <f>H47*'Labor Adjustment'!$B$10</f>
        <v>50.144982273106741</v>
      </c>
      <c r="R47" s="496">
        <f t="shared" si="25"/>
        <v>111.61000000000001</v>
      </c>
      <c r="S47" s="503">
        <f t="shared" si="26"/>
        <v>374.86498227310676</v>
      </c>
      <c r="T47" s="506">
        <v>0.05</v>
      </c>
      <c r="U47" s="501">
        <v>12</v>
      </c>
      <c r="V47" s="501">
        <f t="shared" si="27"/>
        <v>4</v>
      </c>
      <c r="W47" s="502">
        <f t="shared" si="28"/>
        <v>3.5459505041623602</v>
      </c>
      <c r="X47" s="502">
        <f t="shared" si="29"/>
        <v>8.8632516364488083</v>
      </c>
      <c r="Y47" s="502">
        <f t="shared" si="30"/>
        <v>0.40007331954563541</v>
      </c>
      <c r="Z47" s="502">
        <f t="shared" si="18"/>
        <v>85.259625128370374</v>
      </c>
      <c r="AA47" s="507">
        <f t="shared" si="31"/>
        <v>196.86962512837039</v>
      </c>
      <c r="AB47" s="494"/>
      <c r="AC47" s="494"/>
      <c r="AD47" s="494"/>
    </row>
    <row r="48" spans="1:30" s="42" customFormat="1" ht="18.75" x14ac:dyDescent="0.25">
      <c r="A48" s="329" t="s">
        <v>272</v>
      </c>
      <c r="B48" s="315" t="s">
        <v>253</v>
      </c>
      <c r="C48" s="315" t="s">
        <v>273</v>
      </c>
      <c r="D48" s="315">
        <v>331.5</v>
      </c>
      <c r="E48" s="315">
        <v>213.11</v>
      </c>
      <c r="F48" s="315">
        <f t="shared" si="17"/>
        <v>118.38999999999999</v>
      </c>
      <c r="G48" s="496">
        <f>F48*Inflation!$D$4</f>
        <v>120.63940999999997</v>
      </c>
      <c r="H48" s="503">
        <v>68</v>
      </c>
      <c r="I48" s="498">
        <f t="shared" si="19"/>
        <v>331.5</v>
      </c>
      <c r="J48" s="498">
        <f t="shared" si="20"/>
        <v>213.11</v>
      </c>
      <c r="K48" s="498">
        <f>Q48*Inflation!$D$4</f>
        <v>51.097736936295767</v>
      </c>
      <c r="L48" s="499">
        <f t="shared" si="21"/>
        <v>118.38999999999999</v>
      </c>
      <c r="M48" s="499">
        <f t="shared" si="22"/>
        <v>382.59773693629575</v>
      </c>
      <c r="N48" s="504">
        <f>AA48*Inflation!$D$4</f>
        <v>207.51896800580937</v>
      </c>
      <c r="O48" s="505">
        <f t="shared" si="23"/>
        <v>331.5</v>
      </c>
      <c r="P48" s="496">
        <f t="shared" si="24"/>
        <v>213.11</v>
      </c>
      <c r="Q48" s="496">
        <f>H48*'Labor Adjustment'!$B$10</f>
        <v>50.144982273106741</v>
      </c>
      <c r="R48" s="496">
        <f t="shared" si="25"/>
        <v>118.38999999999999</v>
      </c>
      <c r="S48" s="503">
        <f t="shared" si="26"/>
        <v>381.64498227310673</v>
      </c>
      <c r="T48" s="506">
        <v>0.05</v>
      </c>
      <c r="U48" s="501">
        <v>12</v>
      </c>
      <c r="V48" s="501">
        <f t="shared" si="27"/>
        <v>4</v>
      </c>
      <c r="W48" s="502">
        <f t="shared" si="28"/>
        <v>3.5459505041623602</v>
      </c>
      <c r="X48" s="502">
        <f t="shared" si="29"/>
        <v>8.8632516364488083</v>
      </c>
      <c r="Y48" s="502">
        <f t="shared" si="30"/>
        <v>0.40007331954563541</v>
      </c>
      <c r="Z48" s="502">
        <f t="shared" si="18"/>
        <v>85.259625128370374</v>
      </c>
      <c r="AA48" s="507">
        <f t="shared" si="31"/>
        <v>203.64962512837036</v>
      </c>
      <c r="AB48" s="494"/>
      <c r="AC48" s="494"/>
      <c r="AD48" s="494"/>
    </row>
    <row r="49" spans="1:30" s="42" customFormat="1" ht="18.75" x14ac:dyDescent="0.25">
      <c r="A49" s="329" t="s">
        <v>274</v>
      </c>
      <c r="B49" s="315" t="s">
        <v>256</v>
      </c>
      <c r="C49" s="315" t="s">
        <v>275</v>
      </c>
      <c r="D49" s="315">
        <v>332.53</v>
      </c>
      <c r="E49" s="315">
        <v>240.89</v>
      </c>
      <c r="F49" s="315">
        <f t="shared" si="17"/>
        <v>91.639999999999986</v>
      </c>
      <c r="G49" s="496">
        <f>F49*Inflation!$D$4</f>
        <v>93.38115999999998</v>
      </c>
      <c r="H49" s="503">
        <v>68</v>
      </c>
      <c r="I49" s="498">
        <f t="shared" si="19"/>
        <v>332.53</v>
      </c>
      <c r="J49" s="498">
        <f t="shared" si="20"/>
        <v>240.89</v>
      </c>
      <c r="K49" s="498">
        <f>Q49*Inflation!$D$4</f>
        <v>51.097736936295767</v>
      </c>
      <c r="L49" s="499">
        <f t="shared" si="21"/>
        <v>91.639999999999986</v>
      </c>
      <c r="M49" s="499">
        <f t="shared" si="22"/>
        <v>383.62773693629572</v>
      </c>
      <c r="N49" s="504">
        <f>AA49*Inflation!$D$4</f>
        <v>191.58592152230966</v>
      </c>
      <c r="O49" s="505">
        <f t="shared" si="23"/>
        <v>332.53</v>
      </c>
      <c r="P49" s="496">
        <f t="shared" si="24"/>
        <v>240.89</v>
      </c>
      <c r="Q49" s="496">
        <f>H49*'Labor Adjustment'!$B$10</f>
        <v>50.144982273106741</v>
      </c>
      <c r="R49" s="496">
        <f t="shared" si="25"/>
        <v>91.639999999999986</v>
      </c>
      <c r="S49" s="503">
        <f t="shared" si="26"/>
        <v>382.67498227310671</v>
      </c>
      <c r="T49" s="506">
        <v>0.05</v>
      </c>
      <c r="U49" s="501">
        <v>12</v>
      </c>
      <c r="V49" s="501">
        <f t="shared" si="27"/>
        <v>4</v>
      </c>
      <c r="W49" s="502">
        <f t="shared" si="28"/>
        <v>3.5459505041623602</v>
      </c>
      <c r="X49" s="502">
        <f t="shared" si="29"/>
        <v>8.8632516364488083</v>
      </c>
      <c r="Y49" s="502">
        <f t="shared" si="30"/>
        <v>0.40007331954563541</v>
      </c>
      <c r="Z49" s="502">
        <f t="shared" si="18"/>
        <v>96.373661945348104</v>
      </c>
      <c r="AA49" s="507">
        <f t="shared" si="31"/>
        <v>188.01366194534808</v>
      </c>
      <c r="AB49" s="494"/>
      <c r="AC49" s="494"/>
      <c r="AD49" s="494"/>
    </row>
    <row r="50" spans="1:30" s="42" customFormat="1" ht="18.75" x14ac:dyDescent="0.25">
      <c r="A50" s="329" t="s">
        <v>276</v>
      </c>
      <c r="B50" s="315" t="s">
        <v>256</v>
      </c>
      <c r="C50" s="315" t="s">
        <v>277</v>
      </c>
      <c r="D50" s="315">
        <v>339.99</v>
      </c>
      <c r="E50" s="315">
        <v>233.77</v>
      </c>
      <c r="F50" s="315">
        <f t="shared" si="17"/>
        <v>106.22</v>
      </c>
      <c r="G50" s="496">
        <f>F50*Inflation!$D$4</f>
        <v>108.23817999999999</v>
      </c>
      <c r="H50" s="503">
        <v>68</v>
      </c>
      <c r="I50" s="498">
        <f t="shared" si="19"/>
        <v>339.99</v>
      </c>
      <c r="J50" s="498">
        <f t="shared" si="20"/>
        <v>233.77</v>
      </c>
      <c r="K50" s="498">
        <f>Q50*Inflation!$D$4</f>
        <v>51.097736936295767</v>
      </c>
      <c r="L50" s="499">
        <f t="shared" si="21"/>
        <v>106.22</v>
      </c>
      <c r="M50" s="499">
        <f t="shared" si="22"/>
        <v>391.08773693629576</v>
      </c>
      <c r="N50" s="504">
        <f>AA50*Inflation!$D$4</f>
        <v>203.54029756847663</v>
      </c>
      <c r="O50" s="505">
        <f t="shared" si="23"/>
        <v>339.99</v>
      </c>
      <c r="P50" s="496">
        <f t="shared" si="24"/>
        <v>233.77</v>
      </c>
      <c r="Q50" s="496">
        <f>H50*'Labor Adjustment'!$B$10</f>
        <v>50.144982273106741</v>
      </c>
      <c r="R50" s="496">
        <f t="shared" si="25"/>
        <v>106.22</v>
      </c>
      <c r="S50" s="503">
        <f t="shared" si="26"/>
        <v>390.13498227310674</v>
      </c>
      <c r="T50" s="506">
        <v>0.05</v>
      </c>
      <c r="U50" s="501">
        <v>12</v>
      </c>
      <c r="V50" s="501">
        <f t="shared" si="27"/>
        <v>4</v>
      </c>
      <c r="W50" s="502">
        <f t="shared" si="28"/>
        <v>3.5459505041623602</v>
      </c>
      <c r="X50" s="502">
        <f t="shared" si="29"/>
        <v>8.8632516364488083</v>
      </c>
      <c r="Y50" s="502">
        <f t="shared" si="30"/>
        <v>0.40007331954563541</v>
      </c>
      <c r="Z50" s="502">
        <f t="shared" si="18"/>
        <v>93.525139910183199</v>
      </c>
      <c r="AA50" s="507">
        <f t="shared" si="31"/>
        <v>199.74513991018318</v>
      </c>
      <c r="AB50" s="494"/>
      <c r="AC50" s="494"/>
      <c r="AD50" s="494"/>
    </row>
    <row r="51" spans="1:30" s="42" customFormat="1" ht="18.75" x14ac:dyDescent="0.25">
      <c r="A51" s="329" t="s">
        <v>278</v>
      </c>
      <c r="B51" s="315" t="s">
        <v>259</v>
      </c>
      <c r="C51" s="315" t="s">
        <v>279</v>
      </c>
      <c r="D51" s="315">
        <v>496.7</v>
      </c>
      <c r="E51" s="315">
        <v>249.54</v>
      </c>
      <c r="F51" s="315">
        <f t="shared" si="17"/>
        <v>247.16</v>
      </c>
      <c r="G51" s="496">
        <f>F51*Inflation!$D$4</f>
        <v>251.85603999999998</v>
      </c>
      <c r="H51" s="503">
        <v>68</v>
      </c>
      <c r="I51" s="498">
        <f t="shared" si="19"/>
        <v>496.7</v>
      </c>
      <c r="J51" s="498">
        <f t="shared" si="20"/>
        <v>249.54</v>
      </c>
      <c r="K51" s="498">
        <f>Q51*Inflation!$D$4</f>
        <v>51.097736936295767</v>
      </c>
      <c r="L51" s="499">
        <f t="shared" si="21"/>
        <v>247.16</v>
      </c>
      <c r="M51" s="499">
        <f t="shared" si="22"/>
        <v>547.79773693629579</v>
      </c>
      <c r="N51" s="504">
        <f>AA51*Inflation!$D$4</f>
        <v>353.58718778644675</v>
      </c>
      <c r="O51" s="505">
        <f t="shared" si="23"/>
        <v>496.7</v>
      </c>
      <c r="P51" s="496">
        <f t="shared" si="24"/>
        <v>249.54</v>
      </c>
      <c r="Q51" s="496">
        <f>H51*'Labor Adjustment'!$B$10</f>
        <v>50.144982273106741</v>
      </c>
      <c r="R51" s="496">
        <f t="shared" si="25"/>
        <v>247.16</v>
      </c>
      <c r="S51" s="503">
        <f t="shared" si="26"/>
        <v>546.84498227310678</v>
      </c>
      <c r="T51" s="506">
        <v>0.05</v>
      </c>
      <c r="U51" s="501">
        <v>12</v>
      </c>
      <c r="V51" s="501">
        <f t="shared" si="27"/>
        <v>4</v>
      </c>
      <c r="W51" s="502">
        <f t="shared" si="28"/>
        <v>3.5459505041623602</v>
      </c>
      <c r="X51" s="502">
        <f t="shared" si="29"/>
        <v>8.8632516364488083</v>
      </c>
      <c r="Y51" s="502">
        <f t="shared" si="30"/>
        <v>0.40007331954563541</v>
      </c>
      <c r="Z51" s="502">
        <f t="shared" si="18"/>
        <v>99.83429615941786</v>
      </c>
      <c r="AA51" s="507">
        <f t="shared" si="31"/>
        <v>346.99429615941784</v>
      </c>
      <c r="AB51" s="494"/>
      <c r="AC51" s="494"/>
      <c r="AD51" s="494"/>
    </row>
    <row r="52" spans="1:30" s="42" customFormat="1" ht="19.5" thickBot="1" x14ac:dyDescent="0.3">
      <c r="A52" s="330" t="s">
        <v>280</v>
      </c>
      <c r="B52" s="508" t="s">
        <v>262</v>
      </c>
      <c r="C52" s="508" t="s">
        <v>281</v>
      </c>
      <c r="D52" s="508">
        <v>755.74</v>
      </c>
      <c r="E52" s="508">
        <v>342.44</v>
      </c>
      <c r="F52" s="508">
        <f t="shared" si="17"/>
        <v>413.3</v>
      </c>
      <c r="G52" s="509">
        <f>F52*Inflation!$D$4</f>
        <v>421.15269999999998</v>
      </c>
      <c r="H52" s="510">
        <v>68</v>
      </c>
      <c r="I52" s="511">
        <f t="shared" si="19"/>
        <v>755.74</v>
      </c>
      <c r="J52" s="511">
        <f t="shared" si="20"/>
        <v>342.44</v>
      </c>
      <c r="K52" s="498">
        <f>Q52*Inflation!$D$4</f>
        <v>51.097736936295767</v>
      </c>
      <c r="L52" s="512">
        <f t="shared" si="21"/>
        <v>413.3</v>
      </c>
      <c r="M52" s="512">
        <f t="shared" si="22"/>
        <v>806.83773693629576</v>
      </c>
      <c r="N52" s="513">
        <f>AA52*Inflation!$D$4</f>
        <v>560.75682858856624</v>
      </c>
      <c r="O52" s="514">
        <f t="shared" si="23"/>
        <v>755.74</v>
      </c>
      <c r="P52" s="509">
        <f t="shared" si="24"/>
        <v>342.44</v>
      </c>
      <c r="Q52" s="496">
        <f>H52*'Labor Adjustment'!$B$10</f>
        <v>50.144982273106741</v>
      </c>
      <c r="R52" s="509">
        <f t="shared" si="25"/>
        <v>413.3</v>
      </c>
      <c r="S52" s="510">
        <f t="shared" si="26"/>
        <v>805.88498227310674</v>
      </c>
      <c r="T52" s="515">
        <v>0.05</v>
      </c>
      <c r="U52" s="516">
        <v>12</v>
      </c>
      <c r="V52" s="516">
        <f t="shared" si="27"/>
        <v>4</v>
      </c>
      <c r="W52" s="517">
        <f t="shared" si="28"/>
        <v>3.5459505041623602</v>
      </c>
      <c r="X52" s="517">
        <f t="shared" si="29"/>
        <v>8.8632516364488083</v>
      </c>
      <c r="Y52" s="517">
        <f t="shared" si="30"/>
        <v>0.40007331954563541</v>
      </c>
      <c r="Z52" s="517">
        <f t="shared" si="18"/>
        <v>137.00110754520739</v>
      </c>
      <c r="AA52" s="518">
        <f t="shared" si="31"/>
        <v>550.3011075452074</v>
      </c>
      <c r="AB52" s="494"/>
      <c r="AC52" s="494"/>
      <c r="AD52" s="494"/>
    </row>
    <row r="53" spans="1:30" s="42" customFormat="1" ht="21.75" thickBot="1" x14ac:dyDescent="0.3">
      <c r="A53" s="694" t="s">
        <v>282</v>
      </c>
      <c r="B53" s="695"/>
      <c r="C53" s="695"/>
      <c r="D53" s="695"/>
      <c r="E53" s="695"/>
      <c r="F53" s="695"/>
      <c r="G53" s="695"/>
      <c r="H53" s="696"/>
      <c r="I53" s="519"/>
      <c r="J53" s="519"/>
      <c r="K53" s="520"/>
      <c r="L53" s="520"/>
      <c r="M53" s="520"/>
      <c r="N53" s="520"/>
      <c r="O53" s="521"/>
      <c r="P53" s="521"/>
      <c r="Q53" s="521"/>
      <c r="R53" s="521"/>
      <c r="S53" s="521"/>
      <c r="T53" s="521"/>
      <c r="U53" s="521"/>
      <c r="V53" s="494"/>
      <c r="W53" s="494"/>
      <c r="X53" s="494"/>
      <c r="Y53" s="494"/>
      <c r="Z53" s="494"/>
      <c r="AA53" s="494"/>
      <c r="AB53" s="494"/>
      <c r="AC53" s="494"/>
      <c r="AD53" s="494"/>
    </row>
    <row r="54" spans="1:30" ht="15" x14ac:dyDescent="0.25">
      <c r="I54" s="69"/>
      <c r="J54" s="69"/>
    </row>
    <row r="55" spans="1:30" ht="15" x14ac:dyDescent="0.25">
      <c r="A55" s="3" t="s">
        <v>28</v>
      </c>
      <c r="B55" s="3"/>
      <c r="I55" s="69"/>
      <c r="J55" s="69"/>
    </row>
    <row r="56" spans="1:30" ht="15" x14ac:dyDescent="0.25">
      <c r="S56"/>
      <c r="T56"/>
      <c r="U56"/>
    </row>
    <row r="57" spans="1:30" ht="15" x14ac:dyDescent="0.25">
      <c r="S57"/>
      <c r="T57"/>
      <c r="U57"/>
    </row>
    <row r="58" spans="1:30" ht="15" x14ac:dyDescent="0.25">
      <c r="S58"/>
      <c r="T58"/>
      <c r="U58"/>
    </row>
    <row r="59" spans="1:30" ht="15" x14ac:dyDescent="0.25">
      <c r="S59"/>
      <c r="T59"/>
      <c r="U59"/>
    </row>
    <row r="60" spans="1:30" ht="15" x14ac:dyDescent="0.25">
      <c r="S60"/>
      <c r="T60"/>
      <c r="U60"/>
    </row>
    <row r="61" spans="1:30" ht="15" x14ac:dyDescent="0.25">
      <c r="S61"/>
      <c r="T61"/>
      <c r="U61"/>
    </row>
    <row r="62" spans="1:30" ht="15" x14ac:dyDescent="0.25">
      <c r="S62"/>
      <c r="T62"/>
      <c r="U62"/>
    </row>
    <row r="63" spans="1:30" ht="15" x14ac:dyDescent="0.25">
      <c r="S63"/>
      <c r="T63"/>
      <c r="U63"/>
    </row>
    <row r="64" spans="1:30" ht="15" x14ac:dyDescent="0.25">
      <c r="S64"/>
      <c r="T64"/>
      <c r="U64"/>
    </row>
    <row r="65" spans="19:21" ht="15" x14ac:dyDescent="0.25">
      <c r="S65"/>
      <c r="T65"/>
      <c r="U65"/>
    </row>
    <row r="66" spans="19:21" ht="15" x14ac:dyDescent="0.25">
      <c r="S66"/>
      <c r="T66"/>
      <c r="U66"/>
    </row>
    <row r="67" spans="19:21" ht="15" x14ac:dyDescent="0.25">
      <c r="S67"/>
      <c r="T67"/>
      <c r="U67"/>
    </row>
    <row r="68" spans="19:21" ht="15" x14ac:dyDescent="0.25">
      <c r="S68"/>
      <c r="T68"/>
      <c r="U68"/>
    </row>
    <row r="69" spans="19:21" ht="15" x14ac:dyDescent="0.25">
      <c r="S69"/>
      <c r="T69"/>
      <c r="U69"/>
    </row>
    <row r="70" spans="19:21" ht="15" x14ac:dyDescent="0.25">
      <c r="S70"/>
      <c r="T70"/>
      <c r="U70"/>
    </row>
    <row r="71" spans="19:21" ht="15" x14ac:dyDescent="0.25">
      <c r="S71"/>
      <c r="T71"/>
      <c r="U71"/>
    </row>
    <row r="72" spans="19:21" ht="15" x14ac:dyDescent="0.25">
      <c r="S72"/>
      <c r="T72"/>
      <c r="U72"/>
    </row>
    <row r="73" spans="19:21" ht="15" x14ac:dyDescent="0.25">
      <c r="S73"/>
      <c r="T73"/>
      <c r="U73"/>
    </row>
    <row r="74" spans="19:21" ht="15" x14ac:dyDescent="0.25">
      <c r="S74"/>
      <c r="T74"/>
      <c r="U74"/>
    </row>
    <row r="75" spans="19:21" ht="15" x14ac:dyDescent="0.25">
      <c r="S75"/>
      <c r="T75"/>
      <c r="U75"/>
    </row>
    <row r="76" spans="19:21" ht="15" x14ac:dyDescent="0.25">
      <c r="S76"/>
      <c r="T76"/>
      <c r="U76"/>
    </row>
    <row r="77" spans="19:21" ht="15" x14ac:dyDescent="0.25">
      <c r="S77"/>
      <c r="T77"/>
      <c r="U77"/>
    </row>
    <row r="78" spans="19:21" ht="15" x14ac:dyDescent="0.25">
      <c r="S78"/>
      <c r="T78"/>
      <c r="U78"/>
    </row>
    <row r="79" spans="19:21" ht="15" x14ac:dyDescent="0.25">
      <c r="S79"/>
      <c r="T79"/>
      <c r="U79"/>
    </row>
    <row r="80" spans="19:21" ht="15" x14ac:dyDescent="0.25">
      <c r="S80"/>
      <c r="T80"/>
      <c r="U80"/>
    </row>
    <row r="81" spans="19:21" ht="15" x14ac:dyDescent="0.25">
      <c r="S81"/>
      <c r="T81"/>
      <c r="U81"/>
    </row>
    <row r="82" spans="19:21" ht="15" x14ac:dyDescent="0.25">
      <c r="S82"/>
      <c r="T82"/>
      <c r="U82"/>
    </row>
    <row r="83" spans="19:21" ht="15" x14ac:dyDescent="0.25">
      <c r="S83"/>
      <c r="T83"/>
      <c r="U83"/>
    </row>
    <row r="84" spans="19:21" ht="15" x14ac:dyDescent="0.25">
      <c r="S84"/>
      <c r="T84"/>
      <c r="U84"/>
    </row>
    <row r="85" spans="19:21" ht="15" x14ac:dyDescent="0.25">
      <c r="S85"/>
      <c r="T85"/>
      <c r="U85"/>
    </row>
    <row r="86" spans="19:21" ht="15" x14ac:dyDescent="0.25">
      <c r="S86"/>
      <c r="T86"/>
      <c r="U86"/>
    </row>
    <row r="87" spans="19:21" ht="15" x14ac:dyDescent="0.25">
      <c r="S87"/>
      <c r="T87"/>
      <c r="U87"/>
    </row>
    <row r="88" spans="19:21" ht="15" x14ac:dyDescent="0.25">
      <c r="S88"/>
      <c r="T88"/>
      <c r="U88"/>
    </row>
    <row r="89" spans="19:21" ht="15" x14ac:dyDescent="0.25">
      <c r="S89"/>
      <c r="T89"/>
      <c r="U89"/>
    </row>
    <row r="90" spans="19:21" ht="15" x14ac:dyDescent="0.25">
      <c r="S90"/>
      <c r="T90"/>
      <c r="U90"/>
    </row>
    <row r="91" spans="19:21" ht="15" x14ac:dyDescent="0.25">
      <c r="S91"/>
      <c r="T91"/>
      <c r="U91"/>
    </row>
    <row r="92" spans="19:21" ht="15" x14ac:dyDescent="0.25">
      <c r="S92"/>
      <c r="T92"/>
      <c r="U92"/>
    </row>
    <row r="93" spans="19:21" ht="15" x14ac:dyDescent="0.25">
      <c r="S93"/>
      <c r="T93"/>
      <c r="U93"/>
    </row>
    <row r="94" spans="19:21" ht="15" x14ac:dyDescent="0.25">
      <c r="S94"/>
      <c r="T94"/>
      <c r="U94"/>
    </row>
    <row r="95" spans="19:21" ht="15" x14ac:dyDescent="0.25">
      <c r="S95"/>
      <c r="T95"/>
      <c r="U95"/>
    </row>
    <row r="96" spans="19:21" ht="15" x14ac:dyDescent="0.25">
      <c r="S96"/>
      <c r="T96"/>
      <c r="U96"/>
    </row>
    <row r="97" spans="19:21" ht="15" x14ac:dyDescent="0.25">
      <c r="S97"/>
      <c r="T97"/>
      <c r="U97"/>
    </row>
    <row r="98" spans="19:21" ht="15" x14ac:dyDescent="0.25">
      <c r="S98"/>
      <c r="T98"/>
      <c r="U98"/>
    </row>
    <row r="99" spans="19:21" ht="15" x14ac:dyDescent="0.25">
      <c r="S99"/>
      <c r="T99"/>
      <c r="U99"/>
    </row>
    <row r="100" spans="19:21" ht="15" x14ac:dyDescent="0.25">
      <c r="S100"/>
      <c r="T100"/>
      <c r="U100"/>
    </row>
    <row r="101" spans="19:21" ht="15" x14ac:dyDescent="0.25">
      <c r="S101"/>
      <c r="T101"/>
      <c r="U101"/>
    </row>
    <row r="102" spans="19:21" ht="15" x14ac:dyDescent="0.25">
      <c r="S102"/>
      <c r="T102"/>
      <c r="U102"/>
    </row>
    <row r="103" spans="19:21" ht="15" x14ac:dyDescent="0.25">
      <c r="S103"/>
      <c r="T103"/>
      <c r="U103"/>
    </row>
    <row r="104" spans="19:21" ht="15" x14ac:dyDescent="0.25">
      <c r="S104"/>
      <c r="T104"/>
      <c r="U104"/>
    </row>
    <row r="105" spans="19:21" ht="15" x14ac:dyDescent="0.25">
      <c r="S105"/>
      <c r="T105"/>
      <c r="U105"/>
    </row>
    <row r="106" spans="19:21" ht="15" x14ac:dyDescent="0.25">
      <c r="S106"/>
      <c r="T106"/>
      <c r="U106"/>
    </row>
    <row r="107" spans="19:21" ht="15" x14ac:dyDescent="0.25">
      <c r="S107"/>
      <c r="T107"/>
      <c r="U107"/>
    </row>
    <row r="108" spans="19:21" ht="15" x14ac:dyDescent="0.25">
      <c r="S108"/>
      <c r="T108"/>
      <c r="U108"/>
    </row>
    <row r="109" spans="19:21" ht="15" x14ac:dyDescent="0.25">
      <c r="S109"/>
      <c r="T109"/>
      <c r="U109"/>
    </row>
    <row r="110" spans="19:21" ht="15" x14ac:dyDescent="0.25">
      <c r="S110"/>
      <c r="T110"/>
      <c r="U110"/>
    </row>
  </sheetData>
  <mergeCells count="27">
    <mergeCell ref="A53:H53"/>
    <mergeCell ref="O37:S37"/>
    <mergeCell ref="T37:AA37"/>
    <mergeCell ref="I10:N10"/>
    <mergeCell ref="O10:U10"/>
    <mergeCell ref="I37:N37"/>
    <mergeCell ref="A10:H10"/>
    <mergeCell ref="A37:H37"/>
    <mergeCell ref="A35:H35"/>
    <mergeCell ref="A6:B6"/>
    <mergeCell ref="C6:D6"/>
    <mergeCell ref="E6:H6"/>
    <mergeCell ref="A2:B2"/>
    <mergeCell ref="A3:B3"/>
    <mergeCell ref="C2:D2"/>
    <mergeCell ref="C3:D3"/>
    <mergeCell ref="A4:B4"/>
    <mergeCell ref="C4:D4"/>
    <mergeCell ref="E2:H2"/>
    <mergeCell ref="E3:H3"/>
    <mergeCell ref="A1:B1"/>
    <mergeCell ref="C1:D1"/>
    <mergeCell ref="E1:H1"/>
    <mergeCell ref="E4:H4"/>
    <mergeCell ref="A5:B5"/>
    <mergeCell ref="C5:D5"/>
    <mergeCell ref="E5:H5"/>
  </mergeCells>
  <hyperlinks>
    <hyperlink ref="A55" location="TRM_MCS_measures!A1" display="Return To TRM_MCS_Measures"/>
  </hyperlink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E50"/>
  <sheetViews>
    <sheetView tabSelected="1" topLeftCell="E9" zoomScale="70" zoomScaleNormal="70" workbookViewId="0">
      <selection activeCell="U11" sqref="U11"/>
    </sheetView>
  </sheetViews>
  <sheetFormatPr defaultColWidth="9.109375" defaultRowHeight="14.4" x14ac:dyDescent="0.3"/>
  <cols>
    <col min="1" max="1" width="15.5546875" style="42" customWidth="1"/>
    <col min="2" max="2" width="58.44140625" style="42" customWidth="1"/>
    <col min="3" max="3" width="33.88671875" style="42" bestFit="1" customWidth="1"/>
    <col min="4" max="4" width="15.33203125" style="42" customWidth="1"/>
    <col min="5" max="5" width="12.88671875" style="42" customWidth="1"/>
    <col min="6" max="7" width="13.88671875" style="42" customWidth="1"/>
    <col min="8" max="8" width="15.5546875" style="42" bestFit="1" customWidth="1"/>
    <col min="9" max="9" width="13.5546875" style="42" bestFit="1" customWidth="1"/>
    <col min="10" max="10" width="12.6640625" style="42" customWidth="1"/>
    <col min="11" max="11" width="13" style="42" bestFit="1" customWidth="1"/>
    <col min="12" max="12" width="14" style="42" customWidth="1"/>
    <col min="13" max="13" width="14.33203125" style="42" customWidth="1"/>
    <col min="14" max="14" width="15.5546875" style="42" customWidth="1"/>
    <col min="15" max="15" width="12" style="42" customWidth="1"/>
    <col min="16" max="16" width="13.88671875" style="42" customWidth="1"/>
    <col min="17" max="17" width="18.5546875" style="42" customWidth="1"/>
    <col min="18" max="18" width="21.44140625" style="42" customWidth="1"/>
    <col min="19" max="19" width="15.5546875" style="42" customWidth="1"/>
    <col min="20" max="20" width="13.5546875" style="42" customWidth="1"/>
    <col min="21" max="21" width="12.33203125" style="42" customWidth="1"/>
    <col min="22" max="22" width="14" style="42" customWidth="1"/>
    <col min="23" max="23" width="18.5546875" style="42" customWidth="1"/>
    <col min="24" max="24" width="16.44140625" style="42" customWidth="1"/>
    <col min="25" max="26" width="15.6640625" style="42" customWidth="1"/>
    <col min="27" max="27" width="18.6640625" style="42" customWidth="1"/>
    <col min="28" max="28" width="21.88671875" style="42" customWidth="1"/>
    <col min="29" max="29" width="9.109375" style="42" customWidth="1"/>
    <col min="30" max="30" width="23.44140625" style="42" customWidth="1"/>
    <col min="31" max="31" width="24.6640625" style="42" customWidth="1"/>
    <col min="32" max="16384" width="9.109375" style="42"/>
  </cols>
  <sheetData>
    <row r="1" spans="1:31" ht="79.8" x14ac:dyDescent="0.45">
      <c r="A1" s="688" t="s">
        <v>1003</v>
      </c>
      <c r="B1" s="689"/>
      <c r="C1" s="688" t="s">
        <v>170</v>
      </c>
      <c r="D1" s="689"/>
      <c r="E1" s="688" t="s">
        <v>1016</v>
      </c>
      <c r="F1" s="690"/>
      <c r="G1" s="690"/>
      <c r="H1" s="689"/>
      <c r="I1" s="253" t="s">
        <v>919</v>
      </c>
      <c r="J1" s="253" t="s">
        <v>32</v>
      </c>
      <c r="K1" s="253" t="s">
        <v>920</v>
      </c>
      <c r="L1" s="253" t="s">
        <v>904</v>
      </c>
      <c r="M1" s="253" t="s">
        <v>905</v>
      </c>
      <c r="N1" s="253" t="s">
        <v>906</v>
      </c>
    </row>
    <row r="2" spans="1:31" ht="51" customHeight="1" x14ac:dyDescent="0.3">
      <c r="A2" s="691" t="s">
        <v>980</v>
      </c>
      <c r="B2" s="693"/>
      <c r="C2" s="691" t="s">
        <v>1012</v>
      </c>
      <c r="D2" s="693"/>
      <c r="E2" s="737" t="s">
        <v>1015</v>
      </c>
      <c r="F2" s="692"/>
      <c r="G2" s="692"/>
      <c r="H2" s="693"/>
      <c r="I2" s="555">
        <f>AVERAGE(I27:I30, I36:I38, I39:I42)</f>
        <v>404.54485036742312</v>
      </c>
      <c r="J2" s="555">
        <f t="shared" ref="J2:N2" si="0">AVERAGE(J27:J30, J36:J38, J39:J42)</f>
        <v>255.14673401391957</v>
      </c>
      <c r="K2" s="555">
        <f>AVERAGE(K27:K30, K36:K38, K39:K42)</f>
        <v>116.17338702233702</v>
      </c>
      <c r="L2" s="555">
        <f t="shared" si="0"/>
        <v>149.39811635350353</v>
      </c>
      <c r="M2" s="555">
        <f t="shared" si="0"/>
        <v>520.71823738976025</v>
      </c>
      <c r="N2" s="555">
        <f t="shared" si="0"/>
        <v>297.95338979056584</v>
      </c>
    </row>
    <row r="3" spans="1:31" ht="48.75" customHeight="1" x14ac:dyDescent="0.3">
      <c r="A3" s="691" t="s">
        <v>980</v>
      </c>
      <c r="B3" s="693"/>
      <c r="C3" s="691" t="s">
        <v>1013</v>
      </c>
      <c r="D3" s="693"/>
      <c r="E3" s="737" t="s">
        <v>1017</v>
      </c>
      <c r="F3" s="692"/>
      <c r="G3" s="692"/>
      <c r="H3" s="693"/>
      <c r="I3" s="555">
        <f>AVERAGE(I30:I33, I43:I44)</f>
        <v>676.35772525035475</v>
      </c>
      <c r="J3" s="555">
        <f t="shared" ref="J3:N3" si="1">AVERAGE(J30:J33, J43:J44)</f>
        <v>289.30995151212625</v>
      </c>
      <c r="K3" s="555">
        <f t="shared" si="1"/>
        <v>116.17338702233705</v>
      </c>
      <c r="L3" s="555">
        <f t="shared" si="1"/>
        <v>387.0477737382285</v>
      </c>
      <c r="M3" s="555">
        <f t="shared" si="1"/>
        <v>792.53111227269176</v>
      </c>
      <c r="N3" s="555">
        <f t="shared" si="1"/>
        <v>549.27083900615787</v>
      </c>
    </row>
    <row r="4" spans="1:31" ht="51" customHeight="1" x14ac:dyDescent="0.3">
      <c r="A4" s="691" t="s">
        <v>980</v>
      </c>
      <c r="B4" s="693"/>
      <c r="C4" s="691" t="s">
        <v>1014</v>
      </c>
      <c r="D4" s="693"/>
      <c r="E4" s="737" t="s">
        <v>1018</v>
      </c>
      <c r="F4" s="738"/>
      <c r="G4" s="738"/>
      <c r="H4" s="739"/>
      <c r="I4" s="555">
        <f>AVERAGE(I34:I35, I45:I46)</f>
        <v>1333.4577448047498</v>
      </c>
      <c r="J4" s="555">
        <f t="shared" ref="J4:N4" si="2">AVERAGE(J34:J35, J45:J46)</f>
        <v>330.42881953135088</v>
      </c>
      <c r="K4" s="555">
        <f t="shared" si="2"/>
        <v>116.17338702233705</v>
      </c>
      <c r="L4" s="555">
        <f t="shared" si="2"/>
        <v>1003.028925273399</v>
      </c>
      <c r="M4" s="555">
        <f t="shared" si="2"/>
        <v>1449.6311318270868</v>
      </c>
      <c r="N4" s="555">
        <f t="shared" si="2"/>
        <v>1181.7025525657384</v>
      </c>
    </row>
    <row r="8" spans="1:31" ht="15" thickBot="1" x14ac:dyDescent="0.35"/>
    <row r="9" spans="1:31" ht="21" x14ac:dyDescent="0.4">
      <c r="A9" s="718" t="s">
        <v>980</v>
      </c>
      <c r="B9" s="719"/>
      <c r="C9" s="719"/>
      <c r="D9" s="719"/>
      <c r="E9" s="719"/>
      <c r="F9" s="719"/>
      <c r="G9" s="719"/>
      <c r="H9" s="719"/>
      <c r="I9" s="719"/>
      <c r="J9" s="719"/>
      <c r="K9" s="719"/>
      <c r="L9" s="720"/>
      <c r="M9" s="730" t="s">
        <v>983</v>
      </c>
      <c r="N9" s="669"/>
      <c r="O9" s="669"/>
      <c r="P9" s="669"/>
      <c r="Q9" s="669"/>
      <c r="R9" s="670"/>
      <c r="S9" s="727" t="s">
        <v>940</v>
      </c>
      <c r="T9" s="728"/>
      <c r="U9" s="728"/>
      <c r="V9" s="728"/>
      <c r="W9" s="729"/>
      <c r="X9" s="727" t="s">
        <v>999</v>
      </c>
      <c r="Y9" s="728"/>
      <c r="Z9" s="728"/>
      <c r="AA9" s="728"/>
      <c r="AB9" s="728"/>
      <c r="AC9" s="728"/>
      <c r="AD9" s="728"/>
      <c r="AE9" s="729"/>
    </row>
    <row r="10" spans="1:31" ht="78" x14ac:dyDescent="0.3">
      <c r="A10" s="361" t="s">
        <v>169</v>
      </c>
      <c r="B10" s="345" t="s">
        <v>170</v>
      </c>
      <c r="C10" s="345" t="s">
        <v>29</v>
      </c>
      <c r="D10" s="356" t="s">
        <v>809</v>
      </c>
      <c r="E10" s="356" t="s">
        <v>810</v>
      </c>
      <c r="F10" s="356" t="s">
        <v>811</v>
      </c>
      <c r="G10" s="356" t="s">
        <v>820</v>
      </c>
      <c r="H10" s="345" t="s">
        <v>233</v>
      </c>
      <c r="I10" s="345" t="s">
        <v>234</v>
      </c>
      <c r="J10" s="345" t="s">
        <v>173</v>
      </c>
      <c r="K10" s="346" t="s">
        <v>552</v>
      </c>
      <c r="L10" s="347" t="s">
        <v>901</v>
      </c>
      <c r="M10" s="253" t="s">
        <v>919</v>
      </c>
      <c r="N10" s="191" t="s">
        <v>902</v>
      </c>
      <c r="O10" s="191" t="s">
        <v>1032</v>
      </c>
      <c r="P10" s="191" t="s">
        <v>904</v>
      </c>
      <c r="Q10" s="191" t="s">
        <v>905</v>
      </c>
      <c r="R10" s="191" t="s">
        <v>906</v>
      </c>
      <c r="S10" s="308" t="s">
        <v>172</v>
      </c>
      <c r="T10" s="169" t="s">
        <v>902</v>
      </c>
      <c r="U10" s="170" t="s">
        <v>1031</v>
      </c>
      <c r="V10" s="170" t="s">
        <v>904</v>
      </c>
      <c r="W10" s="171" t="s">
        <v>905</v>
      </c>
      <c r="X10" s="171" t="s">
        <v>907</v>
      </c>
      <c r="Y10" s="171" t="s">
        <v>910</v>
      </c>
      <c r="Z10" s="171" t="s">
        <v>911</v>
      </c>
      <c r="AA10" s="309" t="s">
        <v>908</v>
      </c>
      <c r="AB10" s="309" t="s">
        <v>909</v>
      </c>
      <c r="AC10" s="309" t="s">
        <v>929</v>
      </c>
      <c r="AD10" s="309" t="s">
        <v>912</v>
      </c>
      <c r="AE10" s="169" t="s">
        <v>906</v>
      </c>
    </row>
    <row r="11" spans="1:31" ht="15.6" x14ac:dyDescent="0.3">
      <c r="A11" s="362" t="s">
        <v>773</v>
      </c>
      <c r="B11" s="357" t="s">
        <v>774</v>
      </c>
      <c r="C11" s="357" t="s">
        <v>775</v>
      </c>
      <c r="D11" s="358">
        <v>208</v>
      </c>
      <c r="E11" s="358">
        <v>6200</v>
      </c>
      <c r="F11" s="358">
        <v>48</v>
      </c>
      <c r="G11" s="358">
        <v>131</v>
      </c>
      <c r="H11" s="344">
        <v>255.35</v>
      </c>
      <c r="I11" s="344">
        <v>208.29</v>
      </c>
      <c r="J11" s="344">
        <f>H11-I11</f>
        <v>47.06</v>
      </c>
      <c r="K11" s="348">
        <f>J11*Inflation!$D$6</f>
        <v>49.793708764539993</v>
      </c>
      <c r="L11" s="349">
        <v>148.88999999999999</v>
      </c>
      <c r="M11" s="341">
        <f>S11*Inflation!$D$6</f>
        <v>270.18324549564994</v>
      </c>
      <c r="N11" s="341">
        <f>T11*Inflation!$D$6</f>
        <v>220.38953673110996</v>
      </c>
      <c r="O11" s="522">
        <f>U11*Inflation!$D$6</f>
        <v>116.17338702233705</v>
      </c>
      <c r="P11" s="341">
        <f>V11*Inflation!$D$6</f>
        <v>49.793708764539993</v>
      </c>
      <c r="Q11" s="341">
        <f>W11*Inflation!$D$6</f>
        <v>386.35663251798701</v>
      </c>
      <c r="R11" s="522">
        <f>AE11*Inflation!$D$6</f>
        <v>184.44355490656613</v>
      </c>
      <c r="S11" s="342">
        <f t="shared" ref="S11:S22" si="3">H11</f>
        <v>255.35</v>
      </c>
      <c r="T11" s="342">
        <f t="shared" ref="T11:T22" si="4">I11</f>
        <v>208.29</v>
      </c>
      <c r="U11" s="617">
        <f>L11*'Labor Adjustment'!$B$10</f>
        <v>109.79538839180678</v>
      </c>
      <c r="V11" s="342">
        <f>S11-T11</f>
        <v>47.06</v>
      </c>
      <c r="W11" s="342">
        <f>S11+U11</f>
        <v>365.14538839180676</v>
      </c>
      <c r="X11" s="343">
        <v>0.05</v>
      </c>
      <c r="Y11" s="343">
        <v>12</v>
      </c>
      <c r="Z11" s="343">
        <f t="shared" ref="Z11:Z22" si="5">Y11/3</f>
        <v>4</v>
      </c>
      <c r="AA11" s="343">
        <f>((1+X11)^Z11-1)/(X11*(1+X11)^Z11)</f>
        <v>3.5459505041623602</v>
      </c>
      <c r="AB11" s="343">
        <f>((1+X11)^Y11-1)/(X11*(1+X11)^Y11)</f>
        <v>8.8632516364488083</v>
      </c>
      <c r="AC11" s="343">
        <f>AA11/AB11</f>
        <v>0.40007331954563541</v>
      </c>
      <c r="AD11" s="344">
        <f>(U11+T11)*AC11</f>
        <v>127.25747723287286</v>
      </c>
      <c r="AE11" s="344">
        <f>AD11+V11</f>
        <v>174.31747723287287</v>
      </c>
    </row>
    <row r="12" spans="1:31" ht="15.6" x14ac:dyDescent="0.3">
      <c r="A12" s="362" t="s">
        <v>776</v>
      </c>
      <c r="B12" s="357" t="s">
        <v>777</v>
      </c>
      <c r="C12" s="357" t="s">
        <v>778</v>
      </c>
      <c r="D12" s="358">
        <v>232</v>
      </c>
      <c r="E12" s="358">
        <v>9600</v>
      </c>
      <c r="F12" s="358" t="s">
        <v>812</v>
      </c>
      <c r="G12" s="358">
        <v>160</v>
      </c>
      <c r="H12" s="344">
        <v>309</v>
      </c>
      <c r="I12" s="344">
        <v>213.94</v>
      </c>
      <c r="J12" s="344">
        <f t="shared" ref="J12:J22" si="6">H12-I12</f>
        <v>95.06</v>
      </c>
      <c r="K12" s="348">
        <f>J12*Inflation!$D$6</f>
        <v>100.58202199653999</v>
      </c>
      <c r="L12" s="349">
        <v>148.88999999999999</v>
      </c>
      <c r="M12" s="341">
        <f>S12*Inflation!$D$6</f>
        <v>326.94976643099994</v>
      </c>
      <c r="N12" s="341">
        <f>T12*Inflation!$D$6</f>
        <v>226.36774443445998</v>
      </c>
      <c r="O12" s="341">
        <f>U12*Inflation!$D$6</f>
        <v>116.17338702233705</v>
      </c>
      <c r="P12" s="341">
        <f>V12*Inflation!$D$6</f>
        <v>100.58202199653999</v>
      </c>
      <c r="Q12" s="341">
        <f>W12*Inflation!$D$6</f>
        <v>443.12315345333701</v>
      </c>
      <c r="R12" s="341">
        <f>AE12*Inflation!$D$6</f>
        <v>237.62358953937866</v>
      </c>
      <c r="S12" s="342">
        <f t="shared" si="3"/>
        <v>309</v>
      </c>
      <c r="T12" s="342">
        <f t="shared" si="4"/>
        <v>213.94</v>
      </c>
      <c r="U12" s="617">
        <f>L12*'Labor Adjustment'!$B$10</f>
        <v>109.79538839180678</v>
      </c>
      <c r="V12" s="342">
        <f t="shared" ref="V12:V22" si="7">S12-T12</f>
        <v>95.06</v>
      </c>
      <c r="W12" s="342">
        <f t="shared" ref="W12:W22" si="8">S12+U12</f>
        <v>418.7953883918068</v>
      </c>
      <c r="X12" s="343">
        <v>0.05</v>
      </c>
      <c r="Y12" s="343">
        <v>12</v>
      </c>
      <c r="Z12" s="343">
        <f t="shared" si="5"/>
        <v>4</v>
      </c>
      <c r="AA12" s="343">
        <f t="shared" ref="AA12:AA22" si="9">((1+X12)^Z12-1)/(X12*(1+X12)^Z12)</f>
        <v>3.5459505041623602</v>
      </c>
      <c r="AB12" s="343">
        <f t="shared" ref="AB12:AB22" si="10">((1+X12)^Y12-1)/(X12*(1+X12)^Y12)</f>
        <v>8.8632516364488083</v>
      </c>
      <c r="AC12" s="343">
        <f t="shared" ref="AC12:AC22" si="11">AA12/AB12</f>
        <v>0.40007331954563541</v>
      </c>
      <c r="AD12" s="344">
        <f t="shared" ref="AD12:AD22" si="12">(U12+T12)*AC12</f>
        <v>129.51789148830571</v>
      </c>
      <c r="AE12" s="344">
        <f t="shared" ref="AE12:AE22" si="13">AD12+V12</f>
        <v>224.57789148830571</v>
      </c>
    </row>
    <row r="13" spans="1:31" ht="15.6" x14ac:dyDescent="0.3">
      <c r="A13" s="362" t="s">
        <v>779</v>
      </c>
      <c r="B13" s="357" t="s">
        <v>780</v>
      </c>
      <c r="C13" s="357" t="s">
        <v>781</v>
      </c>
      <c r="D13" s="358">
        <v>288</v>
      </c>
      <c r="E13" s="358">
        <v>11200</v>
      </c>
      <c r="F13" s="358" t="s">
        <v>813</v>
      </c>
      <c r="G13" s="358">
        <v>187</v>
      </c>
      <c r="H13" s="344">
        <v>525.37</v>
      </c>
      <c r="I13" s="344">
        <v>217.55</v>
      </c>
      <c r="J13" s="344">
        <f t="shared" si="6"/>
        <v>307.82</v>
      </c>
      <c r="K13" s="348">
        <f>J13*Inflation!$D$6</f>
        <v>325.70122039737993</v>
      </c>
      <c r="L13" s="349">
        <v>148.88999999999999</v>
      </c>
      <c r="M13" s="341">
        <f>S13*Inflation!$D$6</f>
        <v>555.88866922282989</v>
      </c>
      <c r="N13" s="341">
        <f>T13*Inflation!$D$6</f>
        <v>230.18744882544999</v>
      </c>
      <c r="O13" s="341">
        <f>U13*Inflation!$D$6</f>
        <v>116.17338702233705</v>
      </c>
      <c r="P13" s="341">
        <f>V13*Inflation!$D$6</f>
        <v>325.70122039737993</v>
      </c>
      <c r="Q13" s="341">
        <f>W13*Inflation!$D$6</f>
        <v>672.06205624516701</v>
      </c>
      <c r="R13" s="341">
        <f>AE13*Inflation!$D$6</f>
        <v>464.27094975560505</v>
      </c>
      <c r="S13" s="342">
        <f t="shared" si="3"/>
        <v>525.37</v>
      </c>
      <c r="T13" s="342">
        <f t="shared" si="4"/>
        <v>217.55</v>
      </c>
      <c r="U13" s="617">
        <f>L13*'Labor Adjustment'!$B$10</f>
        <v>109.79538839180678</v>
      </c>
      <c r="V13" s="342">
        <f t="shared" si="7"/>
        <v>307.82</v>
      </c>
      <c r="W13" s="342">
        <f t="shared" si="8"/>
        <v>635.1653883918068</v>
      </c>
      <c r="X13" s="343">
        <v>0.05</v>
      </c>
      <c r="Y13" s="343">
        <v>12</v>
      </c>
      <c r="Z13" s="343">
        <f t="shared" si="5"/>
        <v>4</v>
      </c>
      <c r="AA13" s="343">
        <f t="shared" si="9"/>
        <v>3.5459505041623602</v>
      </c>
      <c r="AB13" s="343">
        <f t="shared" si="10"/>
        <v>8.8632516364488083</v>
      </c>
      <c r="AC13" s="343">
        <f t="shared" si="11"/>
        <v>0.40007331954563541</v>
      </c>
      <c r="AD13" s="344">
        <f t="shared" si="12"/>
        <v>130.96215617186544</v>
      </c>
      <c r="AE13" s="344">
        <f t="shared" si="13"/>
        <v>438.78215617186544</v>
      </c>
    </row>
    <row r="14" spans="1:31" ht="15.6" x14ac:dyDescent="0.3">
      <c r="A14" s="362" t="s">
        <v>782</v>
      </c>
      <c r="B14" s="357" t="s">
        <v>783</v>
      </c>
      <c r="C14" s="357" t="s">
        <v>784</v>
      </c>
      <c r="D14" s="358">
        <v>365</v>
      </c>
      <c r="E14" s="358">
        <v>12900</v>
      </c>
      <c r="F14" s="358" t="s">
        <v>814</v>
      </c>
      <c r="G14" s="358">
        <v>220</v>
      </c>
      <c r="H14" s="344">
        <v>488.79</v>
      </c>
      <c r="I14" s="344">
        <v>265.08</v>
      </c>
      <c r="J14" s="344">
        <f t="shared" si="6"/>
        <v>223.71000000000004</v>
      </c>
      <c r="K14" s="348">
        <f>J14*Inflation!$D$6</f>
        <v>236.70528235689</v>
      </c>
      <c r="L14" s="349">
        <v>148.88999999999999</v>
      </c>
      <c r="M14" s="341">
        <f>S14*Inflation!$D$6</f>
        <v>517.1837421806099</v>
      </c>
      <c r="N14" s="341">
        <f>T14*Inflation!$D$6</f>
        <v>280.47845982371996</v>
      </c>
      <c r="O14" s="341">
        <f>U14*Inflation!$D$6</f>
        <v>116.17338702233705</v>
      </c>
      <c r="P14" s="341">
        <f>V14*Inflation!$D$6</f>
        <v>236.70528235689</v>
      </c>
      <c r="Q14" s="341">
        <f>W14*Inflation!$D$6</f>
        <v>633.35712920294691</v>
      </c>
      <c r="R14" s="341">
        <f>AE14*Inflation!$D$6</f>
        <v>395.395103428499</v>
      </c>
      <c r="S14" s="342">
        <f t="shared" si="3"/>
        <v>488.79</v>
      </c>
      <c r="T14" s="342">
        <f t="shared" si="4"/>
        <v>265.08</v>
      </c>
      <c r="U14" s="617">
        <f>L14*'Labor Adjustment'!$B$10</f>
        <v>109.79538839180678</v>
      </c>
      <c r="V14" s="342">
        <f t="shared" si="7"/>
        <v>223.71000000000004</v>
      </c>
      <c r="W14" s="342">
        <f t="shared" si="8"/>
        <v>598.58538839180676</v>
      </c>
      <c r="X14" s="343">
        <v>0.05</v>
      </c>
      <c r="Y14" s="343">
        <v>12</v>
      </c>
      <c r="Z14" s="343">
        <f t="shared" si="5"/>
        <v>4</v>
      </c>
      <c r="AA14" s="343">
        <f t="shared" si="9"/>
        <v>3.5459505041623602</v>
      </c>
      <c r="AB14" s="343">
        <f t="shared" si="10"/>
        <v>8.8632516364488083</v>
      </c>
      <c r="AC14" s="343">
        <f t="shared" si="11"/>
        <v>0.40007331954563541</v>
      </c>
      <c r="AD14" s="344">
        <f t="shared" si="12"/>
        <v>149.9776410498695</v>
      </c>
      <c r="AE14" s="344">
        <f t="shared" si="13"/>
        <v>373.68764104986951</v>
      </c>
    </row>
    <row r="15" spans="1:31" ht="15.6" x14ac:dyDescent="0.3">
      <c r="A15" s="362" t="s">
        <v>785</v>
      </c>
      <c r="B15" s="357" t="s">
        <v>786</v>
      </c>
      <c r="C15" s="357" t="s">
        <v>787</v>
      </c>
      <c r="D15" s="358">
        <v>400</v>
      </c>
      <c r="E15" s="358">
        <v>15800</v>
      </c>
      <c r="F15" s="358" t="s">
        <v>815</v>
      </c>
      <c r="G15" s="358">
        <v>262</v>
      </c>
      <c r="H15" s="344">
        <v>588.92999999999995</v>
      </c>
      <c r="I15" s="344">
        <v>269.19</v>
      </c>
      <c r="J15" s="344">
        <f t="shared" si="6"/>
        <v>319.73999999999995</v>
      </c>
      <c r="K15" s="348">
        <f>J15*Inflation!$D$6</f>
        <v>338.31365151665989</v>
      </c>
      <c r="L15" s="349">
        <v>148.88999999999999</v>
      </c>
      <c r="M15" s="341">
        <f>S15*Inflation!$D$6</f>
        <v>623.14086066086986</v>
      </c>
      <c r="N15" s="341">
        <f>T15*Inflation!$D$6</f>
        <v>284.82720914420997</v>
      </c>
      <c r="O15" s="341">
        <f>U15*Inflation!$D$6</f>
        <v>116.17338702233705</v>
      </c>
      <c r="P15" s="341">
        <f>V15*Inflation!$D$6</f>
        <v>338.31365151665989</v>
      </c>
      <c r="Q15" s="341">
        <f>W15*Inflation!$D$6</f>
        <v>739.31424768320699</v>
      </c>
      <c r="R15" s="341">
        <f>AE15*Inflation!$D$6</f>
        <v>498.74329116478918</v>
      </c>
      <c r="S15" s="342">
        <f t="shared" si="3"/>
        <v>588.92999999999995</v>
      </c>
      <c r="T15" s="342">
        <f t="shared" si="4"/>
        <v>269.19</v>
      </c>
      <c r="U15" s="617">
        <f>L15*'Labor Adjustment'!$B$10</f>
        <v>109.79538839180678</v>
      </c>
      <c r="V15" s="342">
        <f t="shared" si="7"/>
        <v>319.73999999999995</v>
      </c>
      <c r="W15" s="342">
        <f t="shared" si="8"/>
        <v>698.72538839180675</v>
      </c>
      <c r="X15" s="343">
        <v>0.05</v>
      </c>
      <c r="Y15" s="343">
        <v>12</v>
      </c>
      <c r="Z15" s="343">
        <f t="shared" si="5"/>
        <v>4</v>
      </c>
      <c r="AA15" s="343">
        <f t="shared" si="9"/>
        <v>3.5459505041623602</v>
      </c>
      <c r="AB15" s="343">
        <f t="shared" si="10"/>
        <v>8.8632516364488083</v>
      </c>
      <c r="AC15" s="343">
        <f t="shared" si="11"/>
        <v>0.40007331954563541</v>
      </c>
      <c r="AD15" s="344">
        <f t="shared" si="12"/>
        <v>151.62194239320206</v>
      </c>
      <c r="AE15" s="344">
        <f t="shared" si="13"/>
        <v>471.36194239320201</v>
      </c>
    </row>
    <row r="16" spans="1:31" ht="15.6" x14ac:dyDescent="0.3">
      <c r="A16" s="362" t="s">
        <v>788</v>
      </c>
      <c r="B16" s="357" t="s">
        <v>789</v>
      </c>
      <c r="C16" s="357" t="s">
        <v>790</v>
      </c>
      <c r="D16" s="358">
        <v>456</v>
      </c>
      <c r="E16" s="358">
        <v>21600</v>
      </c>
      <c r="F16" s="358" t="s">
        <v>816</v>
      </c>
      <c r="G16" s="358">
        <v>280</v>
      </c>
      <c r="H16" s="344">
        <v>490.78</v>
      </c>
      <c r="I16" s="344">
        <v>276.16000000000003</v>
      </c>
      <c r="J16" s="344">
        <f t="shared" si="6"/>
        <v>214.61999999999995</v>
      </c>
      <c r="K16" s="348">
        <f>J16*Inflation!$D$6</f>
        <v>227.08724553857991</v>
      </c>
      <c r="L16" s="349">
        <v>148.88999999999999</v>
      </c>
      <c r="M16" s="341">
        <f>S16*Inflation!$D$6</f>
        <v>519.28934100001993</v>
      </c>
      <c r="N16" s="341">
        <f>T16*Inflation!$D$6</f>
        <v>292.20209546143997</v>
      </c>
      <c r="O16" s="341">
        <f>U16*Inflation!$D$6</f>
        <v>116.17338702233705</v>
      </c>
      <c r="P16" s="341">
        <f>V16*Inflation!$D$6</f>
        <v>227.08724553857991</v>
      </c>
      <c r="Q16" s="341">
        <f>W16*Inflation!$D$6</f>
        <v>635.46272802235694</v>
      </c>
      <c r="R16" s="341">
        <f>AE16*Inflation!$D$6</f>
        <v>390.46738043691511</v>
      </c>
      <c r="S16" s="342">
        <f t="shared" si="3"/>
        <v>490.78</v>
      </c>
      <c r="T16" s="342">
        <f t="shared" si="4"/>
        <v>276.16000000000003</v>
      </c>
      <c r="U16" s="617">
        <f>L16*'Labor Adjustment'!$B$10</f>
        <v>109.79538839180678</v>
      </c>
      <c r="V16" s="342">
        <f t="shared" si="7"/>
        <v>214.61999999999995</v>
      </c>
      <c r="W16" s="342">
        <f t="shared" si="8"/>
        <v>600.57538839180677</v>
      </c>
      <c r="X16" s="343">
        <v>0.05</v>
      </c>
      <c r="Y16" s="343">
        <v>12</v>
      </c>
      <c r="Z16" s="343">
        <f t="shared" si="5"/>
        <v>4</v>
      </c>
      <c r="AA16" s="343">
        <f t="shared" si="9"/>
        <v>3.5459505041623602</v>
      </c>
      <c r="AB16" s="343">
        <f t="shared" si="10"/>
        <v>8.8632516364488083</v>
      </c>
      <c r="AC16" s="343">
        <f t="shared" si="11"/>
        <v>0.40007331954563541</v>
      </c>
      <c r="AD16" s="344">
        <f t="shared" si="12"/>
        <v>154.41045343043515</v>
      </c>
      <c r="AE16" s="344">
        <f t="shared" si="13"/>
        <v>369.0304534304351</v>
      </c>
    </row>
    <row r="17" spans="1:31" ht="15.6" x14ac:dyDescent="0.3">
      <c r="A17" s="362" t="s">
        <v>791</v>
      </c>
      <c r="B17" s="357" t="s">
        <v>792</v>
      </c>
      <c r="C17" s="357" t="s">
        <v>793</v>
      </c>
      <c r="D17" s="358">
        <v>506</v>
      </c>
      <c r="E17" s="358">
        <v>23900</v>
      </c>
      <c r="F17" s="358" t="s">
        <v>817</v>
      </c>
      <c r="G17" s="358">
        <v>320</v>
      </c>
      <c r="H17" s="344">
        <v>955.03</v>
      </c>
      <c r="I17" s="344">
        <v>280.06</v>
      </c>
      <c r="J17" s="344">
        <f t="shared" si="6"/>
        <v>674.97</v>
      </c>
      <c r="K17" s="348">
        <f>J17*Inflation!$D$6</f>
        <v>714.17891212922996</v>
      </c>
      <c r="L17" s="349">
        <v>148.88999999999999</v>
      </c>
      <c r="M17" s="341">
        <f>S17*Inflation!$D$6</f>
        <v>1010.5075580407698</v>
      </c>
      <c r="N17" s="341">
        <f>T17*Inflation!$D$6</f>
        <v>296.32864591153998</v>
      </c>
      <c r="O17" s="341">
        <f>U17*Inflation!$D$6</f>
        <v>116.17338702233705</v>
      </c>
      <c r="P17" s="341">
        <f>V17*Inflation!$D$6</f>
        <v>714.17891212922996</v>
      </c>
      <c r="Q17" s="341">
        <f>W17*Inflation!$D$6</f>
        <v>1126.6809450631067</v>
      </c>
      <c r="R17" s="341">
        <f>AE17*Inflation!$D$6</f>
        <v>879.20996976440915</v>
      </c>
      <c r="S17" s="342">
        <f t="shared" si="3"/>
        <v>955.03</v>
      </c>
      <c r="T17" s="342">
        <f t="shared" si="4"/>
        <v>280.06</v>
      </c>
      <c r="U17" s="617">
        <f>L17*'Labor Adjustment'!$B$10</f>
        <v>109.79538839180678</v>
      </c>
      <c r="V17" s="342">
        <f t="shared" si="7"/>
        <v>674.97</v>
      </c>
      <c r="W17" s="342">
        <f t="shared" si="8"/>
        <v>1064.8253883918067</v>
      </c>
      <c r="X17" s="343">
        <v>0.05</v>
      </c>
      <c r="Y17" s="343">
        <v>12</v>
      </c>
      <c r="Z17" s="343">
        <f t="shared" si="5"/>
        <v>4</v>
      </c>
      <c r="AA17" s="343">
        <f t="shared" si="9"/>
        <v>3.5459505041623602</v>
      </c>
      <c r="AB17" s="343">
        <f t="shared" si="10"/>
        <v>8.8632516364488083</v>
      </c>
      <c r="AC17" s="343">
        <f t="shared" si="11"/>
        <v>0.40007331954563541</v>
      </c>
      <c r="AD17" s="344">
        <f t="shared" si="12"/>
        <v>155.97073937666312</v>
      </c>
      <c r="AE17" s="344">
        <f t="shared" si="13"/>
        <v>830.94073937666315</v>
      </c>
    </row>
    <row r="18" spans="1:31" ht="15.6" x14ac:dyDescent="0.3">
      <c r="A18" s="362" t="s">
        <v>794</v>
      </c>
      <c r="B18" s="357" t="s">
        <v>795</v>
      </c>
      <c r="C18" s="357" t="s">
        <v>796</v>
      </c>
      <c r="D18" s="358">
        <v>818</v>
      </c>
      <c r="E18" s="358">
        <v>32300</v>
      </c>
      <c r="F18" s="358" t="s">
        <v>818</v>
      </c>
      <c r="G18" s="358">
        <v>500</v>
      </c>
      <c r="H18" s="344">
        <v>1028.1500000000001</v>
      </c>
      <c r="I18" s="344">
        <v>302.14999999999998</v>
      </c>
      <c r="J18" s="344">
        <f t="shared" si="6"/>
        <v>726.00000000000011</v>
      </c>
      <c r="K18" s="348">
        <f>J18*Inflation!$D$6</f>
        <v>768.17323763399997</v>
      </c>
      <c r="L18" s="349">
        <v>148.88999999999999</v>
      </c>
      <c r="M18" s="341">
        <f>S18*Inflation!$D$6</f>
        <v>1087.87508853085</v>
      </c>
      <c r="N18" s="341">
        <f>T18*Inflation!$D$6</f>
        <v>319.70185089684992</v>
      </c>
      <c r="O18" s="341">
        <f>U18*Inflation!$D$6</f>
        <v>116.17338702233705</v>
      </c>
      <c r="P18" s="341">
        <f>V18*Inflation!$D$6</f>
        <v>768.17323763399997</v>
      </c>
      <c r="Q18" s="341">
        <f>W18*Inflation!$D$6</f>
        <v>1204.0484755531868</v>
      </c>
      <c r="R18" s="341">
        <f>AE18*Inflation!$D$6</f>
        <v>942.5552909760728</v>
      </c>
      <c r="S18" s="342">
        <f t="shared" si="3"/>
        <v>1028.1500000000001</v>
      </c>
      <c r="T18" s="342">
        <f t="shared" si="4"/>
        <v>302.14999999999998</v>
      </c>
      <c r="U18" s="617">
        <f>L18*'Labor Adjustment'!$B$10</f>
        <v>109.79538839180678</v>
      </c>
      <c r="V18" s="342">
        <f t="shared" si="7"/>
        <v>726.00000000000011</v>
      </c>
      <c r="W18" s="342">
        <f t="shared" si="8"/>
        <v>1137.9453883918068</v>
      </c>
      <c r="X18" s="343">
        <v>0.05</v>
      </c>
      <c r="Y18" s="343">
        <v>12</v>
      </c>
      <c r="Z18" s="343">
        <f t="shared" si="5"/>
        <v>4</v>
      </c>
      <c r="AA18" s="343">
        <f t="shared" si="9"/>
        <v>3.5459505041623602</v>
      </c>
      <c r="AB18" s="343">
        <f t="shared" si="10"/>
        <v>8.8632516364488083</v>
      </c>
      <c r="AC18" s="343">
        <f t="shared" si="11"/>
        <v>0.40007331954563541</v>
      </c>
      <c r="AD18" s="344">
        <f t="shared" si="12"/>
        <v>164.80835900542621</v>
      </c>
      <c r="AE18" s="344">
        <f t="shared" si="13"/>
        <v>890.80835900542638</v>
      </c>
    </row>
    <row r="19" spans="1:31" ht="15.6" x14ac:dyDescent="0.3">
      <c r="A19" s="362" t="s">
        <v>797</v>
      </c>
      <c r="B19" s="357" t="s">
        <v>798</v>
      </c>
      <c r="C19" s="357" t="s">
        <v>799</v>
      </c>
      <c r="D19" s="358">
        <v>1080</v>
      </c>
      <c r="E19" s="358">
        <v>43400</v>
      </c>
      <c r="F19" s="358" t="s">
        <v>819</v>
      </c>
      <c r="G19" s="358">
        <v>750</v>
      </c>
      <c r="H19" s="344">
        <v>1492.35</v>
      </c>
      <c r="I19" s="344">
        <v>323.05</v>
      </c>
      <c r="J19" s="344">
        <f t="shared" si="6"/>
        <v>1169.3</v>
      </c>
      <c r="K19" s="348">
        <f>J19*Inflation!$D$6</f>
        <v>1237.2244721286997</v>
      </c>
      <c r="L19" s="349">
        <v>148.88999999999999</v>
      </c>
      <c r="M19" s="341">
        <f>S19*Inflation!$D$6</f>
        <v>1579.0404010786497</v>
      </c>
      <c r="N19" s="341">
        <f>T19*Inflation!$D$6</f>
        <v>341.81592894994998</v>
      </c>
      <c r="O19" s="341">
        <f>U19*Inflation!$D$6</f>
        <v>116.17338702233705</v>
      </c>
      <c r="P19" s="341">
        <f>V19*Inflation!$D$6</f>
        <v>1237.2244721286997</v>
      </c>
      <c r="Q19" s="341">
        <f>W19*Inflation!$D$6</f>
        <v>1695.2137881009867</v>
      </c>
      <c r="R19" s="341">
        <f>AE19*Inflation!$D$6</f>
        <v>1420.4537780861676</v>
      </c>
      <c r="S19" s="342">
        <f t="shared" si="3"/>
        <v>1492.35</v>
      </c>
      <c r="T19" s="342">
        <f t="shared" si="4"/>
        <v>323.05</v>
      </c>
      <c r="U19" s="617">
        <f>L19*'Labor Adjustment'!$B$10</f>
        <v>109.79538839180678</v>
      </c>
      <c r="V19" s="342">
        <f t="shared" si="7"/>
        <v>1169.3</v>
      </c>
      <c r="W19" s="342">
        <f t="shared" si="8"/>
        <v>1602.1453883918066</v>
      </c>
      <c r="X19" s="343">
        <v>0.05</v>
      </c>
      <c r="Y19" s="343">
        <v>12</v>
      </c>
      <c r="Z19" s="343">
        <f t="shared" si="5"/>
        <v>4</v>
      </c>
      <c r="AA19" s="343">
        <f t="shared" si="9"/>
        <v>3.5459505041623602</v>
      </c>
      <c r="AB19" s="343">
        <f t="shared" si="10"/>
        <v>8.8632516364488083</v>
      </c>
      <c r="AC19" s="343">
        <f t="shared" si="11"/>
        <v>0.40007331954563541</v>
      </c>
      <c r="AD19" s="344">
        <f t="shared" si="12"/>
        <v>173.16989138392998</v>
      </c>
      <c r="AE19" s="344">
        <f t="shared" si="13"/>
        <v>1342.46989138393</v>
      </c>
    </row>
    <row r="20" spans="1:31" ht="15.6" x14ac:dyDescent="0.3">
      <c r="A20" s="362" t="s">
        <v>800</v>
      </c>
      <c r="B20" s="357" t="s">
        <v>801</v>
      </c>
      <c r="C20" s="357" t="s">
        <v>802</v>
      </c>
      <c r="D20" s="358">
        <v>151</v>
      </c>
      <c r="E20" s="358">
        <v>6200</v>
      </c>
      <c r="F20" s="358">
        <v>48</v>
      </c>
      <c r="G20" s="358">
        <v>131</v>
      </c>
      <c r="H20" s="344">
        <v>255.35</v>
      </c>
      <c r="I20" s="344">
        <v>230.19</v>
      </c>
      <c r="J20" s="344">
        <f t="shared" si="6"/>
        <v>25.159999999999997</v>
      </c>
      <c r="K20" s="348">
        <f>J20*Inflation!$D$6</f>
        <v>26.621540852439992</v>
      </c>
      <c r="L20" s="349">
        <v>148.88999999999999</v>
      </c>
      <c r="M20" s="341">
        <f>S20*Inflation!$D$6</f>
        <v>270.18324549564994</v>
      </c>
      <c r="N20" s="341">
        <f>T20*Inflation!$D$6</f>
        <v>243.56170464320996</v>
      </c>
      <c r="O20" s="341">
        <f>U20*Inflation!$D$6</f>
        <v>116.17338702233705</v>
      </c>
      <c r="P20" s="341">
        <f>V20*Inflation!$D$6</f>
        <v>26.621540852439992</v>
      </c>
      <c r="Q20" s="341">
        <f>W20*Inflation!$D$6</f>
        <v>386.35663251798701</v>
      </c>
      <c r="R20" s="341">
        <f>AE20*Inflation!$D$6</f>
        <v>170.54195313212884</v>
      </c>
      <c r="S20" s="342">
        <f t="shared" si="3"/>
        <v>255.35</v>
      </c>
      <c r="T20" s="342">
        <f t="shared" si="4"/>
        <v>230.19</v>
      </c>
      <c r="U20" s="617">
        <f>L20*'Labor Adjustment'!$B$10</f>
        <v>109.79538839180678</v>
      </c>
      <c r="V20" s="342">
        <f t="shared" si="7"/>
        <v>25.159999999999997</v>
      </c>
      <c r="W20" s="342">
        <f t="shared" si="8"/>
        <v>365.14538839180676</v>
      </c>
      <c r="X20" s="343">
        <v>0.05</v>
      </c>
      <c r="Y20" s="343">
        <v>12</v>
      </c>
      <c r="Z20" s="343">
        <f t="shared" si="5"/>
        <v>4</v>
      </c>
      <c r="AA20" s="343">
        <f t="shared" si="9"/>
        <v>3.5459505041623602</v>
      </c>
      <c r="AB20" s="343">
        <f t="shared" si="10"/>
        <v>8.8632516364488083</v>
      </c>
      <c r="AC20" s="343">
        <f t="shared" si="11"/>
        <v>0.40007331954563541</v>
      </c>
      <c r="AD20" s="344">
        <f t="shared" si="12"/>
        <v>136.01908293092228</v>
      </c>
      <c r="AE20" s="344">
        <f t="shared" si="13"/>
        <v>161.17908293092228</v>
      </c>
    </row>
    <row r="21" spans="1:31" ht="15.6" x14ac:dyDescent="0.3">
      <c r="A21" s="362" t="s">
        <v>803</v>
      </c>
      <c r="B21" s="357" t="s">
        <v>804</v>
      </c>
      <c r="C21" s="357" t="s">
        <v>805</v>
      </c>
      <c r="D21" s="358">
        <v>226</v>
      </c>
      <c r="E21" s="358">
        <v>9600</v>
      </c>
      <c r="F21" s="358" t="s">
        <v>812</v>
      </c>
      <c r="G21" s="358">
        <v>160</v>
      </c>
      <c r="H21" s="344">
        <v>309</v>
      </c>
      <c r="I21" s="344">
        <v>278.66000000000003</v>
      </c>
      <c r="J21" s="344">
        <f t="shared" si="6"/>
        <v>30.339999999999975</v>
      </c>
      <c r="K21" s="348">
        <f>J21*Inflation!$D$6</f>
        <v>32.102446322059969</v>
      </c>
      <c r="L21" s="349">
        <v>148.88999999999999</v>
      </c>
      <c r="M21" s="341">
        <f>S21*Inflation!$D$6</f>
        <v>326.94976643099994</v>
      </c>
      <c r="N21" s="341">
        <f>T21*Inflation!$D$6</f>
        <v>294.84732010893998</v>
      </c>
      <c r="O21" s="341">
        <f>U21*Inflation!$D$6</f>
        <v>116.17338702233705</v>
      </c>
      <c r="P21" s="341">
        <f>V21*Inflation!$D$6</f>
        <v>32.102446322059969</v>
      </c>
      <c r="Q21" s="341">
        <f>W21*Inflation!$D$6</f>
        <v>443.12315345333701</v>
      </c>
      <c r="R21" s="341">
        <f>AE21*Inflation!$D$6</f>
        <v>196.54086502606441</v>
      </c>
      <c r="S21" s="342">
        <f t="shared" si="3"/>
        <v>309</v>
      </c>
      <c r="T21" s="342">
        <f t="shared" si="4"/>
        <v>278.66000000000003</v>
      </c>
      <c r="U21" s="617">
        <f>L21*'Labor Adjustment'!$B$10</f>
        <v>109.79538839180678</v>
      </c>
      <c r="V21" s="342">
        <f t="shared" si="7"/>
        <v>30.339999999999975</v>
      </c>
      <c r="W21" s="342">
        <f t="shared" si="8"/>
        <v>418.7953883918068</v>
      </c>
      <c r="X21" s="343">
        <v>0.05</v>
      </c>
      <c r="Y21" s="343">
        <v>12</v>
      </c>
      <c r="Z21" s="343">
        <f t="shared" si="5"/>
        <v>4</v>
      </c>
      <c r="AA21" s="343">
        <f t="shared" si="9"/>
        <v>3.5459505041623602</v>
      </c>
      <c r="AB21" s="343">
        <f t="shared" si="10"/>
        <v>8.8632516364488083</v>
      </c>
      <c r="AC21" s="343">
        <f t="shared" si="11"/>
        <v>0.40007331954563541</v>
      </c>
      <c r="AD21" s="344">
        <f t="shared" si="12"/>
        <v>155.41063672929926</v>
      </c>
      <c r="AE21" s="344">
        <f t="shared" si="13"/>
        <v>185.75063672929923</v>
      </c>
    </row>
    <row r="22" spans="1:31" ht="15.6" x14ac:dyDescent="0.3">
      <c r="A22" s="363" t="s">
        <v>806</v>
      </c>
      <c r="B22" s="359" t="s">
        <v>807</v>
      </c>
      <c r="C22" s="359" t="s">
        <v>808</v>
      </c>
      <c r="D22" s="360">
        <v>302</v>
      </c>
      <c r="E22" s="360">
        <v>11200</v>
      </c>
      <c r="F22" s="360" t="s">
        <v>813</v>
      </c>
      <c r="G22" s="360">
        <v>220</v>
      </c>
      <c r="H22" s="350">
        <v>484.31</v>
      </c>
      <c r="I22" s="350">
        <v>327.14</v>
      </c>
      <c r="J22" s="350">
        <f t="shared" si="6"/>
        <v>157.17000000000002</v>
      </c>
      <c r="K22" s="351">
        <f>J22*Inflation!$D$6</f>
        <v>166.29998313902999</v>
      </c>
      <c r="L22" s="349">
        <v>148.88999999999999</v>
      </c>
      <c r="M22" s="341">
        <f>S22*Inflation!$D$6</f>
        <v>512.44349961228988</v>
      </c>
      <c r="N22" s="341">
        <f>T22*Inflation!$D$6</f>
        <v>346.14351647325992</v>
      </c>
      <c r="O22" s="341">
        <f>U22*Inflation!$D$6</f>
        <v>116.17338702233705</v>
      </c>
      <c r="P22" s="341">
        <f>V22*Inflation!$D$6</f>
        <v>166.29998313902999</v>
      </c>
      <c r="Q22" s="341">
        <f>W22*Inflation!$D$6</f>
        <v>628.61688663462689</v>
      </c>
      <c r="R22" s="341">
        <f>AE22*Inflation!$D$6</f>
        <v>351.26064140257267</v>
      </c>
      <c r="S22" s="342">
        <f t="shared" si="3"/>
        <v>484.31</v>
      </c>
      <c r="T22" s="342">
        <f t="shared" si="4"/>
        <v>327.14</v>
      </c>
      <c r="U22" s="617">
        <f>L22*'Labor Adjustment'!$B$10</f>
        <v>109.79538839180678</v>
      </c>
      <c r="V22" s="342">
        <f t="shared" si="7"/>
        <v>157.17000000000002</v>
      </c>
      <c r="W22" s="342">
        <f t="shared" si="8"/>
        <v>594.10538839180674</v>
      </c>
      <c r="X22" s="343">
        <v>0.05</v>
      </c>
      <c r="Y22" s="343">
        <v>12</v>
      </c>
      <c r="Z22" s="343">
        <f t="shared" si="5"/>
        <v>4</v>
      </c>
      <c r="AA22" s="343">
        <f t="shared" si="9"/>
        <v>3.5459505041623602</v>
      </c>
      <c r="AB22" s="343">
        <f t="shared" si="10"/>
        <v>8.8632516364488083</v>
      </c>
      <c r="AC22" s="343">
        <f t="shared" si="11"/>
        <v>0.40007331954563541</v>
      </c>
      <c r="AD22" s="344">
        <f t="shared" si="12"/>
        <v>174.80619126087163</v>
      </c>
      <c r="AE22" s="344">
        <f t="shared" si="13"/>
        <v>331.97619126087164</v>
      </c>
    </row>
    <row r="23" spans="1:31" ht="29.25" customHeight="1" thickBot="1" x14ac:dyDescent="0.35">
      <c r="A23" s="731" t="s">
        <v>979</v>
      </c>
      <c r="B23" s="732"/>
      <c r="C23" s="732"/>
      <c r="D23" s="732"/>
      <c r="E23" s="732"/>
      <c r="F23" s="732"/>
      <c r="G23" s="732"/>
      <c r="H23" s="732"/>
      <c r="I23" s="732"/>
      <c r="J23" s="732"/>
      <c r="K23" s="732"/>
      <c r="L23" s="733"/>
    </row>
    <row r="24" spans="1:31" ht="15" thickBot="1" x14ac:dyDescent="0.35"/>
    <row r="25" spans="1:31" ht="21" x14ac:dyDescent="0.4">
      <c r="A25" s="718" t="s">
        <v>980</v>
      </c>
      <c r="B25" s="719"/>
      <c r="C25" s="719"/>
      <c r="D25" s="719"/>
      <c r="E25" s="719"/>
      <c r="F25" s="719"/>
      <c r="G25" s="719"/>
      <c r="H25" s="720"/>
      <c r="I25" s="734" t="s">
        <v>983</v>
      </c>
      <c r="J25" s="735"/>
      <c r="K25" s="735"/>
      <c r="L25" s="735"/>
      <c r="M25" s="735"/>
      <c r="N25" s="736"/>
      <c r="O25" s="715" t="s">
        <v>940</v>
      </c>
      <c r="P25" s="716"/>
      <c r="Q25" s="716"/>
      <c r="R25" s="716"/>
      <c r="S25" s="717"/>
      <c r="T25" s="715" t="s">
        <v>1000</v>
      </c>
      <c r="U25" s="716"/>
      <c r="V25" s="716"/>
      <c r="W25" s="716"/>
      <c r="X25" s="716"/>
      <c r="Y25" s="716"/>
      <c r="Z25" s="716"/>
      <c r="AA25" s="717"/>
      <c r="AB25"/>
    </row>
    <row r="26" spans="1:31" ht="78" x14ac:dyDescent="0.3">
      <c r="A26" s="366" t="s">
        <v>169</v>
      </c>
      <c r="B26" s="313" t="s">
        <v>170</v>
      </c>
      <c r="C26" s="313" t="s">
        <v>29</v>
      </c>
      <c r="D26" s="313" t="s">
        <v>233</v>
      </c>
      <c r="E26" s="313" t="s">
        <v>234</v>
      </c>
      <c r="F26" s="313" t="s">
        <v>173</v>
      </c>
      <c r="G26" s="313" t="s">
        <v>552</v>
      </c>
      <c r="H26" s="347" t="s">
        <v>901</v>
      </c>
      <c r="I26" s="368" t="s">
        <v>919</v>
      </c>
      <c r="J26" s="352" t="s">
        <v>902</v>
      </c>
      <c r="K26" s="352" t="s">
        <v>1032</v>
      </c>
      <c r="L26" s="352" t="s">
        <v>904</v>
      </c>
      <c r="M26" s="352" t="s">
        <v>905</v>
      </c>
      <c r="N26" s="369" t="s">
        <v>906</v>
      </c>
      <c r="O26" s="375" t="s">
        <v>172</v>
      </c>
      <c r="P26" s="353" t="s">
        <v>902</v>
      </c>
      <c r="Q26" s="353" t="s">
        <v>1033</v>
      </c>
      <c r="R26" s="353" t="s">
        <v>904</v>
      </c>
      <c r="S26" s="376" t="s">
        <v>905</v>
      </c>
      <c r="T26" s="382" t="s">
        <v>907</v>
      </c>
      <c r="U26" s="354" t="s">
        <v>910</v>
      </c>
      <c r="V26" s="354" t="s">
        <v>911</v>
      </c>
      <c r="W26" s="355" t="s">
        <v>908</v>
      </c>
      <c r="X26" s="355" t="s">
        <v>909</v>
      </c>
      <c r="Y26" s="355" t="s">
        <v>929</v>
      </c>
      <c r="Z26" s="355" t="s">
        <v>912</v>
      </c>
      <c r="AA26" s="383" t="s">
        <v>906</v>
      </c>
    </row>
    <row r="27" spans="1:31" ht="15.6" x14ac:dyDescent="0.3">
      <c r="A27" s="367" t="s">
        <v>283</v>
      </c>
      <c r="B27" s="364" t="s">
        <v>284</v>
      </c>
      <c r="C27" s="364" t="s">
        <v>285</v>
      </c>
      <c r="D27" s="364">
        <v>255.35249999999996</v>
      </c>
      <c r="E27" s="365">
        <v>208.29449190708729</v>
      </c>
      <c r="F27" s="344">
        <f t="shared" ref="F27:F46" si="14">D27-E27</f>
        <v>47.058008092912672</v>
      </c>
      <c r="G27" s="344">
        <f>F27*Inflation!$D$5</f>
        <v>48.863200341364887</v>
      </c>
      <c r="H27" s="349">
        <v>148.88999999999999</v>
      </c>
      <c r="I27" s="370">
        <f>O27*Inflation!$D$6</f>
        <v>270.18589072029744</v>
      </c>
      <c r="J27" s="341">
        <f>P27*Inflation!$D$6</f>
        <v>220.39428957244661</v>
      </c>
      <c r="K27" s="522">
        <f>Q27*Inflation!$D$6</f>
        <v>116.17338702233705</v>
      </c>
      <c r="L27" s="341">
        <f>R27*Inflation!$D$6</f>
        <v>49.79160114785082</v>
      </c>
      <c r="M27" s="341">
        <f>S27*Inflation!$D$6</f>
        <v>386.3592777426345</v>
      </c>
      <c r="N27" s="371">
        <f>AA27*Inflation!$D$6</f>
        <v>184.44334877488777</v>
      </c>
      <c r="O27" s="377">
        <f>D27</f>
        <v>255.35249999999996</v>
      </c>
      <c r="P27" s="342">
        <f>E27</f>
        <v>208.29449190708729</v>
      </c>
      <c r="Q27" s="617">
        <f>H27*'Labor Adjustment'!$B$10</f>
        <v>109.79538839180678</v>
      </c>
      <c r="R27" s="342">
        <f>O27-P27</f>
        <v>47.058008092912672</v>
      </c>
      <c r="S27" s="378">
        <f>O27+Q27</f>
        <v>365.14788839180676</v>
      </c>
      <c r="T27" s="384">
        <v>0.05</v>
      </c>
      <c r="U27" s="343">
        <v>12</v>
      </c>
      <c r="V27" s="343">
        <f t="shared" ref="V27" si="15">U27/3</f>
        <v>4</v>
      </c>
      <c r="W27" s="343">
        <f>((1+T27)^V27-1)/(T27*(1+T27)^V27)</f>
        <v>3.5459505041623602</v>
      </c>
      <c r="X27" s="343">
        <f>((1+T27)^U27-1)/(T27*(1+T27)^U27)</f>
        <v>8.8632516364488083</v>
      </c>
      <c r="Y27" s="343">
        <f>W27/X27</f>
        <v>0.40007331954563541</v>
      </c>
      <c r="Z27" s="344">
        <f>(P27+Q27)*Y27</f>
        <v>127.25927432505236</v>
      </c>
      <c r="AA27" s="349">
        <f>Z27+R27</f>
        <v>174.31728241796503</v>
      </c>
    </row>
    <row r="28" spans="1:31" ht="15.6" x14ac:dyDescent="0.3">
      <c r="A28" s="367" t="s">
        <v>286</v>
      </c>
      <c r="B28" s="364" t="s">
        <v>287</v>
      </c>
      <c r="C28" s="364" t="s">
        <v>288</v>
      </c>
      <c r="D28" s="364">
        <v>309</v>
      </c>
      <c r="E28" s="365">
        <v>213.94299710867878</v>
      </c>
      <c r="F28" s="344">
        <f t="shared" si="14"/>
        <v>95.057002891321218</v>
      </c>
      <c r="G28" s="344">
        <f>F28*Inflation!$D$5</f>
        <v>98.70348457923518</v>
      </c>
      <c r="H28" s="349">
        <v>148.88999999999999</v>
      </c>
      <c r="I28" s="370">
        <f>O28*Inflation!$D$6</f>
        <v>326.94976643099994</v>
      </c>
      <c r="J28" s="341">
        <f>P28*Inflation!$D$6</f>
        <v>226.37091564475932</v>
      </c>
      <c r="K28" s="341">
        <f>Q28*Inflation!$D$6</f>
        <v>116.17338702233705</v>
      </c>
      <c r="L28" s="341">
        <f>R28*Inflation!$D$6</f>
        <v>100.57885078624065</v>
      </c>
      <c r="M28" s="341">
        <f>S28*Inflation!$D$6</f>
        <v>443.12315345333701</v>
      </c>
      <c r="N28" s="371">
        <f>AA28*Inflation!$D$6</f>
        <v>237.62168704571073</v>
      </c>
      <c r="O28" s="377">
        <f t="shared" ref="O28:O46" si="16">D28</f>
        <v>309</v>
      </c>
      <c r="P28" s="342">
        <f t="shared" ref="P28:P46" si="17">E28</f>
        <v>213.94299710867878</v>
      </c>
      <c r="Q28" s="617">
        <f>H28*'Labor Adjustment'!$B$10</f>
        <v>109.79538839180678</v>
      </c>
      <c r="R28" s="342">
        <f t="shared" ref="R28:R46" si="18">O28-P28</f>
        <v>95.057002891321218</v>
      </c>
      <c r="S28" s="378">
        <f t="shared" ref="S28:S46" si="19">O28+Q28</f>
        <v>418.7953883918068</v>
      </c>
      <c r="T28" s="384">
        <v>0.05</v>
      </c>
      <c r="U28" s="343">
        <v>12</v>
      </c>
      <c r="V28" s="343">
        <f t="shared" ref="V28:V46" si="20">U28/3</f>
        <v>4</v>
      </c>
      <c r="W28" s="343">
        <f t="shared" ref="W28:W46" si="21">((1+T28)^V28-1)/(T28*(1+T28)^V28)</f>
        <v>3.5459505041623602</v>
      </c>
      <c r="X28" s="343">
        <f t="shared" ref="X28:X46" si="22">((1+T28)^U28-1)/(T28*(1+T28)^U28)</f>
        <v>8.8632516364488083</v>
      </c>
      <c r="Y28" s="343">
        <f t="shared" ref="Y28:Y46" si="23">W28/X28</f>
        <v>0.40007331954563541</v>
      </c>
      <c r="Z28" s="344">
        <f t="shared" ref="Z28:Z46" si="24">(P28+Q28)*Y28</f>
        <v>129.51909055152385</v>
      </c>
      <c r="AA28" s="349">
        <f t="shared" ref="AA28:AA46" si="25">Z28+R28</f>
        <v>224.57609344284506</v>
      </c>
    </row>
    <row r="29" spans="1:31" ht="15.6" x14ac:dyDescent="0.3">
      <c r="A29" s="367" t="s">
        <v>289</v>
      </c>
      <c r="B29" s="364" t="s">
        <v>290</v>
      </c>
      <c r="C29" s="364" t="s">
        <v>291</v>
      </c>
      <c r="D29" s="364">
        <v>525.36625000000004</v>
      </c>
      <c r="E29" s="365">
        <v>217.55217263358301</v>
      </c>
      <c r="F29" s="344">
        <f t="shared" si="14"/>
        <v>307.814077366417</v>
      </c>
      <c r="G29" s="344">
        <f>F29*Inflation!$D$5</f>
        <v>319.62213318827008</v>
      </c>
      <c r="H29" s="349">
        <v>148.88999999999999</v>
      </c>
      <c r="I29" s="370">
        <f>O29*Inflation!$D$6</f>
        <v>555.88470138585876</v>
      </c>
      <c r="J29" s="341">
        <f>P29*Inflation!$D$6</f>
        <v>230.18974766701149</v>
      </c>
      <c r="K29" s="341">
        <f>Q29*Inflation!$D$6</f>
        <v>116.17338702233705</v>
      </c>
      <c r="L29" s="341">
        <f>R29*Inflation!$D$6</f>
        <v>325.69495371884722</v>
      </c>
      <c r="M29" s="341">
        <f>S29*Inflation!$D$6</f>
        <v>672.05808840819577</v>
      </c>
      <c r="N29" s="371">
        <f>AA29*Inflation!$D$6</f>
        <v>464.2656027822469</v>
      </c>
      <c r="O29" s="377">
        <f t="shared" si="16"/>
        <v>525.36625000000004</v>
      </c>
      <c r="P29" s="342">
        <f t="shared" si="17"/>
        <v>217.55217263358301</v>
      </c>
      <c r="Q29" s="617">
        <f>H29*'Labor Adjustment'!$B$10</f>
        <v>109.79538839180678</v>
      </c>
      <c r="R29" s="342">
        <f t="shared" si="18"/>
        <v>307.814077366417</v>
      </c>
      <c r="S29" s="378">
        <f t="shared" si="19"/>
        <v>635.16163839180683</v>
      </c>
      <c r="T29" s="384">
        <v>0.05</v>
      </c>
      <c r="U29" s="343">
        <v>12</v>
      </c>
      <c r="V29" s="343">
        <f t="shared" si="20"/>
        <v>4</v>
      </c>
      <c r="W29" s="343">
        <f t="shared" si="21"/>
        <v>3.5459505041623602</v>
      </c>
      <c r="X29" s="343">
        <f t="shared" si="22"/>
        <v>8.8632516364488083</v>
      </c>
      <c r="Y29" s="343">
        <f t="shared" si="23"/>
        <v>0.40007331954563541</v>
      </c>
      <c r="Z29" s="344">
        <f t="shared" si="24"/>
        <v>130.96302538459514</v>
      </c>
      <c r="AA29" s="349">
        <f t="shared" si="25"/>
        <v>438.77710275101214</v>
      </c>
    </row>
    <row r="30" spans="1:31" ht="15.6" x14ac:dyDescent="0.3">
      <c r="A30" s="367" t="s">
        <v>292</v>
      </c>
      <c r="B30" s="364" t="s">
        <v>293</v>
      </c>
      <c r="C30" s="364" t="s">
        <v>294</v>
      </c>
      <c r="D30" s="364">
        <v>488.79333333333335</v>
      </c>
      <c r="E30" s="365">
        <v>265.07516593343081</v>
      </c>
      <c r="F30" s="344">
        <f t="shared" si="14"/>
        <v>223.71816739990254</v>
      </c>
      <c r="G30" s="344">
        <f>F30*Inflation!$D$5</f>
        <v>232.30022001953017</v>
      </c>
      <c r="H30" s="349">
        <v>148.88999999999999</v>
      </c>
      <c r="I30" s="370">
        <f>O30*Inflation!$D$6</f>
        <v>517.18726914680667</v>
      </c>
      <c r="J30" s="341">
        <f>P30*Inflation!$D$6</f>
        <v>280.47334494690534</v>
      </c>
      <c r="K30" s="341">
        <f>Q30*Inflation!$D$6</f>
        <v>116.17338702233705</v>
      </c>
      <c r="L30" s="341">
        <f>R30*Inflation!$D$6</f>
        <v>236.71392419990124</v>
      </c>
      <c r="M30" s="341">
        <f>S30*Inflation!$D$6</f>
        <v>633.36065616914368</v>
      </c>
      <c r="N30" s="371">
        <f>AA30*Inflation!$D$6</f>
        <v>395.401698945764</v>
      </c>
      <c r="O30" s="377">
        <f t="shared" si="16"/>
        <v>488.79333333333335</v>
      </c>
      <c r="P30" s="342">
        <f t="shared" si="17"/>
        <v>265.07516593343081</v>
      </c>
      <c r="Q30" s="617">
        <f>H30*'Labor Adjustment'!$B$10</f>
        <v>109.79538839180678</v>
      </c>
      <c r="R30" s="342">
        <f t="shared" si="18"/>
        <v>223.71816739990254</v>
      </c>
      <c r="S30" s="378">
        <f t="shared" si="19"/>
        <v>598.58872172514009</v>
      </c>
      <c r="T30" s="384">
        <v>0.05</v>
      </c>
      <c r="U30" s="343">
        <v>12</v>
      </c>
      <c r="V30" s="343">
        <f t="shared" si="20"/>
        <v>4</v>
      </c>
      <c r="W30" s="343">
        <f t="shared" si="21"/>
        <v>3.5459505041623602</v>
      </c>
      <c r="X30" s="343">
        <f t="shared" si="22"/>
        <v>8.8632516364488083</v>
      </c>
      <c r="Y30" s="343">
        <f t="shared" si="23"/>
        <v>0.40007331954563541</v>
      </c>
      <c r="Z30" s="344">
        <f t="shared" si="24"/>
        <v>149.97570706881027</v>
      </c>
      <c r="AA30" s="349">
        <f t="shared" si="25"/>
        <v>373.69387446871281</v>
      </c>
    </row>
    <row r="31" spans="1:31" ht="15.6" x14ac:dyDescent="0.3">
      <c r="A31" s="367" t="s">
        <v>295</v>
      </c>
      <c r="B31" s="364" t="s">
        <v>296</v>
      </c>
      <c r="C31" s="364" t="s">
        <v>297</v>
      </c>
      <c r="D31" s="364">
        <v>588.92750000000012</v>
      </c>
      <c r="E31" s="365">
        <v>269.18528052247194</v>
      </c>
      <c r="F31" s="344">
        <f t="shared" si="14"/>
        <v>319.74221947752818</v>
      </c>
      <c r="G31" s="344">
        <f>F31*Inflation!$D$5</f>
        <v>332.00785075890559</v>
      </c>
      <c r="H31" s="349">
        <v>148.88999999999999</v>
      </c>
      <c r="I31" s="370">
        <f>O31*Inflation!$D$6</f>
        <v>623.13821543622259</v>
      </c>
      <c r="J31" s="341">
        <f>P31*Inflation!$D$6</f>
        <v>284.82221551289774</v>
      </c>
      <c r="K31" s="341">
        <f>Q31*Inflation!$D$6</f>
        <v>116.17338702233705</v>
      </c>
      <c r="L31" s="341">
        <f>R31*Inflation!$D$6</f>
        <v>338.3159999233248</v>
      </c>
      <c r="M31" s="341">
        <f>S31*Inflation!$D$6</f>
        <v>739.31160245855961</v>
      </c>
      <c r="N31" s="371">
        <f>AA31*Inflation!$D$6</f>
        <v>498.74364175279845</v>
      </c>
      <c r="O31" s="377">
        <f t="shared" si="16"/>
        <v>588.92750000000012</v>
      </c>
      <c r="P31" s="342">
        <f t="shared" si="17"/>
        <v>269.18528052247194</v>
      </c>
      <c r="Q31" s="617">
        <f>H31*'Labor Adjustment'!$B$10</f>
        <v>109.79538839180678</v>
      </c>
      <c r="R31" s="342">
        <f t="shared" si="18"/>
        <v>319.74221947752818</v>
      </c>
      <c r="S31" s="378">
        <f t="shared" si="19"/>
        <v>698.72288839180692</v>
      </c>
      <c r="T31" s="384">
        <v>0.05</v>
      </c>
      <c r="U31" s="343">
        <v>12</v>
      </c>
      <c r="V31" s="343">
        <f t="shared" si="20"/>
        <v>4</v>
      </c>
      <c r="W31" s="343">
        <f t="shared" si="21"/>
        <v>3.5459505041623602</v>
      </c>
      <c r="X31" s="343">
        <f t="shared" si="22"/>
        <v>8.8632516364488083</v>
      </c>
      <c r="Y31" s="343">
        <f t="shared" si="23"/>
        <v>0.40007331954563541</v>
      </c>
      <c r="Z31" s="344">
        <f t="shared" si="24"/>
        <v>151.6200542561609</v>
      </c>
      <c r="AA31" s="349">
        <f t="shared" si="25"/>
        <v>471.36227373368911</v>
      </c>
    </row>
    <row r="32" spans="1:31" ht="15.6" x14ac:dyDescent="0.3">
      <c r="A32" s="367" t="s">
        <v>298</v>
      </c>
      <c r="B32" s="364" t="s">
        <v>299</v>
      </c>
      <c r="C32" s="364" t="s">
        <v>31</v>
      </c>
      <c r="D32" s="364">
        <v>490.77699999999999</v>
      </c>
      <c r="E32" s="365">
        <v>276.15621120668249</v>
      </c>
      <c r="F32" s="344">
        <f t="shared" si="14"/>
        <v>214.6207887933175</v>
      </c>
      <c r="G32" s="344">
        <f>F32*Inflation!$D$5</f>
        <v>222.85385687221793</v>
      </c>
      <c r="H32" s="349">
        <v>148.88999999999999</v>
      </c>
      <c r="I32" s="370">
        <f>O32*Inflation!$D$6</f>
        <v>519.28616673044291</v>
      </c>
      <c r="J32" s="341">
        <f>P32*Inflation!$D$6</f>
        <v>292.19808657765287</v>
      </c>
      <c r="K32" s="341">
        <f>Q32*Inflation!$D$6</f>
        <v>116.17338702233705</v>
      </c>
      <c r="L32" s="341">
        <f>R32*Inflation!$D$6</f>
        <v>227.08808015279007</v>
      </c>
      <c r="M32" s="341">
        <f>S32*Inflation!$D$6</f>
        <v>635.45955375277993</v>
      </c>
      <c r="N32" s="371">
        <f>AA32*Inflation!$D$6</f>
        <v>390.46661120368083</v>
      </c>
      <c r="O32" s="377">
        <f t="shared" si="16"/>
        <v>490.77699999999999</v>
      </c>
      <c r="P32" s="342">
        <f t="shared" si="17"/>
        <v>276.15621120668249</v>
      </c>
      <c r="Q32" s="617">
        <f>H32*'Labor Adjustment'!$B$10</f>
        <v>109.79538839180678</v>
      </c>
      <c r="R32" s="342">
        <f t="shared" si="18"/>
        <v>214.6207887933175</v>
      </c>
      <c r="S32" s="378">
        <f t="shared" si="19"/>
        <v>600.57238839180673</v>
      </c>
      <c r="T32" s="384">
        <v>0.05</v>
      </c>
      <c r="U32" s="343">
        <v>12</v>
      </c>
      <c r="V32" s="343">
        <f t="shared" si="20"/>
        <v>4</v>
      </c>
      <c r="W32" s="343">
        <f t="shared" si="21"/>
        <v>3.5459505041623602</v>
      </c>
      <c r="X32" s="343">
        <f t="shared" si="22"/>
        <v>8.8632516364488083</v>
      </c>
      <c r="Y32" s="343">
        <f t="shared" si="23"/>
        <v>0.40007331954563541</v>
      </c>
      <c r="Z32" s="344">
        <f t="shared" si="24"/>
        <v>154.40893763531554</v>
      </c>
      <c r="AA32" s="349">
        <f t="shared" si="25"/>
        <v>369.02972642863301</v>
      </c>
    </row>
    <row r="33" spans="1:27" ht="15.6" x14ac:dyDescent="0.3">
      <c r="A33" s="367" t="s">
        <v>300</v>
      </c>
      <c r="B33" s="364" t="s">
        <v>301</v>
      </c>
      <c r="C33" s="364" t="s">
        <v>302</v>
      </c>
      <c r="D33" s="364">
        <v>955.02499999999998</v>
      </c>
      <c r="E33" s="365">
        <v>280.05642843156289</v>
      </c>
      <c r="F33" s="344">
        <f t="shared" si="14"/>
        <v>674.96857156843703</v>
      </c>
      <c r="G33" s="344">
        <f>F33*Inflation!$D$5</f>
        <v>700.86104094237373</v>
      </c>
      <c r="H33" s="349">
        <v>148.88999999999999</v>
      </c>
      <c r="I33" s="370">
        <f>O33*Inflation!$D$6</f>
        <v>1010.5022675914748</v>
      </c>
      <c r="J33" s="341">
        <f>P33*Inflation!$D$6</f>
        <v>296.32486687119592</v>
      </c>
      <c r="K33" s="341">
        <f>Q33*Inflation!$D$6</f>
        <v>116.17338702233705</v>
      </c>
      <c r="L33" s="341">
        <f>R33*Inflation!$D$6</f>
        <v>714.1774007202788</v>
      </c>
      <c r="M33" s="341">
        <f>S33*Inflation!$D$6</f>
        <v>1126.675654613812</v>
      </c>
      <c r="N33" s="371">
        <f>AA33*Inflation!$D$6</f>
        <v>879.20694646224285</v>
      </c>
      <c r="O33" s="377">
        <f t="shared" si="16"/>
        <v>955.02499999999998</v>
      </c>
      <c r="P33" s="342">
        <f t="shared" si="17"/>
        <v>280.05642843156289</v>
      </c>
      <c r="Q33" s="617">
        <f>H33*'Labor Adjustment'!$B$10</f>
        <v>109.79538839180678</v>
      </c>
      <c r="R33" s="342">
        <f t="shared" si="18"/>
        <v>674.96857156843703</v>
      </c>
      <c r="S33" s="378">
        <f t="shared" si="19"/>
        <v>1064.8203883918068</v>
      </c>
      <c r="T33" s="384">
        <v>0.05</v>
      </c>
      <c r="U33" s="343">
        <v>12</v>
      </c>
      <c r="V33" s="343">
        <f t="shared" si="20"/>
        <v>4</v>
      </c>
      <c r="W33" s="343">
        <f t="shared" si="21"/>
        <v>3.5459505041623602</v>
      </c>
      <c r="X33" s="343">
        <f t="shared" si="22"/>
        <v>8.8632516364488083</v>
      </c>
      <c r="Y33" s="343">
        <f t="shared" si="23"/>
        <v>0.40007331954563541</v>
      </c>
      <c r="Z33" s="344">
        <f t="shared" si="24"/>
        <v>155.96931048742249</v>
      </c>
      <c r="AA33" s="349">
        <f t="shared" si="25"/>
        <v>830.93788205585952</v>
      </c>
    </row>
    <row r="34" spans="1:27" ht="15.6" x14ac:dyDescent="0.3">
      <c r="A34" s="367" t="s">
        <v>303</v>
      </c>
      <c r="B34" s="364" t="s">
        <v>304</v>
      </c>
      <c r="C34" s="364" t="s">
        <v>305</v>
      </c>
      <c r="D34" s="364">
        <v>1028.1500000000001</v>
      </c>
      <c r="E34" s="365">
        <v>302.15359242711742</v>
      </c>
      <c r="F34" s="344">
        <f t="shared" si="14"/>
        <v>725.99640757288262</v>
      </c>
      <c r="G34" s="344">
        <f>F34*Inflation!$D$5</f>
        <v>753.84635576378582</v>
      </c>
      <c r="H34" s="349">
        <v>148.88999999999999</v>
      </c>
      <c r="I34" s="370">
        <f>O34*Inflation!$D$6</f>
        <v>1087.87508853085</v>
      </c>
      <c r="J34" s="341">
        <f>P34*Inflation!$D$6</f>
        <v>319.70565200755209</v>
      </c>
      <c r="K34" s="341">
        <f>Q34*Inflation!$D$6</f>
        <v>116.17338702233705</v>
      </c>
      <c r="L34" s="341">
        <f>R34*Inflation!$D$6</f>
        <v>768.1694365232978</v>
      </c>
      <c r="M34" s="341">
        <f>S34*Inflation!$D$6</f>
        <v>1204.0484755531868</v>
      </c>
      <c r="N34" s="371">
        <f>AA34*Inflation!$D$6</f>
        <v>942.55301058834709</v>
      </c>
      <c r="O34" s="377">
        <f t="shared" si="16"/>
        <v>1028.1500000000001</v>
      </c>
      <c r="P34" s="342">
        <f t="shared" si="17"/>
        <v>302.15359242711742</v>
      </c>
      <c r="Q34" s="617">
        <f>H34*'Labor Adjustment'!$B$10</f>
        <v>109.79538839180678</v>
      </c>
      <c r="R34" s="342">
        <f t="shared" si="18"/>
        <v>725.99640757288262</v>
      </c>
      <c r="S34" s="378">
        <f t="shared" si="19"/>
        <v>1137.9453883918068</v>
      </c>
      <c r="T34" s="384">
        <v>0.05</v>
      </c>
      <c r="U34" s="343">
        <v>12</v>
      </c>
      <c r="V34" s="343">
        <f t="shared" si="20"/>
        <v>4</v>
      </c>
      <c r="W34" s="343">
        <f t="shared" si="21"/>
        <v>3.5459505041623602</v>
      </c>
      <c r="X34" s="343">
        <f t="shared" si="22"/>
        <v>8.8632516364488083</v>
      </c>
      <c r="Y34" s="343">
        <f t="shared" si="23"/>
        <v>0.40007331954563541</v>
      </c>
      <c r="Z34" s="344">
        <f t="shared" si="24"/>
        <v>164.80979623966829</v>
      </c>
      <c r="AA34" s="349">
        <f t="shared" si="25"/>
        <v>890.80620381255085</v>
      </c>
    </row>
    <row r="35" spans="1:27" ht="15.6" x14ac:dyDescent="0.3">
      <c r="A35" s="367" t="s">
        <v>306</v>
      </c>
      <c r="B35" s="364" t="s">
        <v>307</v>
      </c>
      <c r="C35" s="364" t="s">
        <v>308</v>
      </c>
      <c r="D35" s="364">
        <v>1492.35</v>
      </c>
      <c r="E35" s="365">
        <v>323.0474036706201</v>
      </c>
      <c r="F35" s="344">
        <f t="shared" si="14"/>
        <v>1169.3025963293799</v>
      </c>
      <c r="G35" s="344">
        <f>F35*Inflation!$D$5</f>
        <v>1214.158213227171</v>
      </c>
      <c r="H35" s="349">
        <v>148.88999999999999</v>
      </c>
      <c r="I35" s="370">
        <f>O35*Inflation!$D$6</f>
        <v>1579.0404010786497</v>
      </c>
      <c r="J35" s="341">
        <f>P35*Inflation!$D$6</f>
        <v>341.81318180016245</v>
      </c>
      <c r="K35" s="341">
        <f>Q35*Inflation!$D$6</f>
        <v>116.17338702233705</v>
      </c>
      <c r="L35" s="341">
        <f>R35*Inflation!$D$6</f>
        <v>1237.2272192784874</v>
      </c>
      <c r="M35" s="341">
        <f>S35*Inflation!$D$6</f>
        <v>1695.2137881009867</v>
      </c>
      <c r="N35" s="371">
        <f>AA35*Inflation!$D$6</f>
        <v>1420.4554261746202</v>
      </c>
      <c r="O35" s="377">
        <f t="shared" si="16"/>
        <v>1492.35</v>
      </c>
      <c r="P35" s="342">
        <f t="shared" si="17"/>
        <v>323.0474036706201</v>
      </c>
      <c r="Q35" s="617">
        <f>H35*'Labor Adjustment'!$B$10</f>
        <v>109.79538839180678</v>
      </c>
      <c r="R35" s="342">
        <f t="shared" si="18"/>
        <v>1169.3025963293799</v>
      </c>
      <c r="S35" s="378">
        <f t="shared" si="19"/>
        <v>1602.1453883918066</v>
      </c>
      <c r="T35" s="384">
        <v>0.05</v>
      </c>
      <c r="U35" s="343">
        <v>12</v>
      </c>
      <c r="V35" s="343">
        <f t="shared" si="20"/>
        <v>4</v>
      </c>
      <c r="W35" s="343">
        <f t="shared" si="21"/>
        <v>3.5459505041623602</v>
      </c>
      <c r="X35" s="343">
        <f t="shared" si="22"/>
        <v>8.8632516364488083</v>
      </c>
      <c r="Y35" s="343">
        <f t="shared" si="23"/>
        <v>0.40007331954563541</v>
      </c>
      <c r="Z35" s="344">
        <f t="shared" si="24"/>
        <v>173.16885266181635</v>
      </c>
      <c r="AA35" s="349">
        <f t="shared" si="25"/>
        <v>1342.4714489911962</v>
      </c>
    </row>
    <row r="36" spans="1:27" ht="15.6" x14ac:dyDescent="0.3">
      <c r="A36" s="367" t="s">
        <v>309</v>
      </c>
      <c r="B36" s="364" t="s">
        <v>284</v>
      </c>
      <c r="C36" s="364" t="s">
        <v>310</v>
      </c>
      <c r="D36" s="364">
        <v>255.35249999999996</v>
      </c>
      <c r="E36" s="365">
        <v>230.18623919454035</v>
      </c>
      <c r="F36" s="344">
        <f t="shared" si="14"/>
        <v>25.166260805459615</v>
      </c>
      <c r="G36" s="344">
        <f>F36*Inflation!$D$5</f>
        <v>26.131663736217849</v>
      </c>
      <c r="H36" s="349">
        <v>148.88999999999999</v>
      </c>
      <c r="I36" s="370">
        <f>O36*Inflation!$D$6</f>
        <v>270.18589072029744</v>
      </c>
      <c r="J36" s="341">
        <f>P36*Inflation!$D$6</f>
        <v>243.55772537309144</v>
      </c>
      <c r="K36" s="341">
        <f>Q36*Inflation!$D$6</f>
        <v>116.17338702233705</v>
      </c>
      <c r="L36" s="341">
        <f>R36*Inflation!$D$6</f>
        <v>26.628165347205986</v>
      </c>
      <c r="M36" s="341">
        <f>S36*Inflation!$D$6</f>
        <v>386.3592777426345</v>
      </c>
      <c r="N36" s="371">
        <f>AA36*Inflation!$D$6</f>
        <v>170.54698562708916</v>
      </c>
      <c r="O36" s="377">
        <f t="shared" si="16"/>
        <v>255.35249999999996</v>
      </c>
      <c r="P36" s="342">
        <f t="shared" si="17"/>
        <v>230.18623919454035</v>
      </c>
      <c r="Q36" s="617">
        <f>H36*'Labor Adjustment'!$B$10</f>
        <v>109.79538839180678</v>
      </c>
      <c r="R36" s="342">
        <f t="shared" si="18"/>
        <v>25.166260805459615</v>
      </c>
      <c r="S36" s="378">
        <f t="shared" si="19"/>
        <v>365.14788839180676</v>
      </c>
      <c r="T36" s="384">
        <v>0.05</v>
      </c>
      <c r="U36" s="343">
        <v>12</v>
      </c>
      <c r="V36" s="343">
        <f t="shared" si="20"/>
        <v>4</v>
      </c>
      <c r="W36" s="343">
        <f t="shared" si="21"/>
        <v>3.5459505041623602</v>
      </c>
      <c r="X36" s="343">
        <f t="shared" si="22"/>
        <v>8.8632516364488083</v>
      </c>
      <c r="Y36" s="343">
        <f t="shared" si="23"/>
        <v>0.40007331954563541</v>
      </c>
      <c r="Z36" s="344">
        <f t="shared" si="24"/>
        <v>136.01757833299789</v>
      </c>
      <c r="AA36" s="349">
        <f t="shared" si="25"/>
        <v>161.1838391384575</v>
      </c>
    </row>
    <row r="37" spans="1:27" ht="15.6" x14ac:dyDescent="0.3">
      <c r="A37" s="367" t="s">
        <v>311</v>
      </c>
      <c r="B37" s="364" t="s">
        <v>287</v>
      </c>
      <c r="C37" s="364" t="s">
        <v>312</v>
      </c>
      <c r="D37" s="364">
        <v>309</v>
      </c>
      <c r="E37" s="365">
        <v>278.66362802257981</v>
      </c>
      <c r="F37" s="344">
        <f t="shared" si="14"/>
        <v>30.336371977420185</v>
      </c>
      <c r="G37" s="344">
        <f>F37*Inflation!$D$5</f>
        <v>31.500105542845997</v>
      </c>
      <c r="H37" s="349">
        <v>148.88999999999999</v>
      </c>
      <c r="I37" s="370">
        <f>O37*Inflation!$D$6</f>
        <v>326.94976643099994</v>
      </c>
      <c r="J37" s="341">
        <f>P37*Inflation!$D$6</f>
        <v>294.85115888283991</v>
      </c>
      <c r="K37" s="341">
        <f>Q37*Inflation!$D$6</f>
        <v>116.17338702233705</v>
      </c>
      <c r="L37" s="341">
        <f>R37*Inflation!$D$6</f>
        <v>32.098607548160068</v>
      </c>
      <c r="M37" s="341">
        <f>S37*Inflation!$D$6</f>
        <v>443.12315345333701</v>
      </c>
      <c r="N37" s="371">
        <f>AA37*Inflation!$D$6</f>
        <v>196.53856204318163</v>
      </c>
      <c r="O37" s="377">
        <f t="shared" si="16"/>
        <v>309</v>
      </c>
      <c r="P37" s="342">
        <f t="shared" si="17"/>
        <v>278.66362802257981</v>
      </c>
      <c r="Q37" s="617">
        <f>H37*'Labor Adjustment'!$B$10</f>
        <v>109.79538839180678</v>
      </c>
      <c r="R37" s="342">
        <f t="shared" si="18"/>
        <v>30.336371977420185</v>
      </c>
      <c r="S37" s="378">
        <f t="shared" si="19"/>
        <v>418.7953883918068</v>
      </c>
      <c r="T37" s="384">
        <v>0.05</v>
      </c>
      <c r="U37" s="343">
        <v>12</v>
      </c>
      <c r="V37" s="343">
        <f t="shared" si="20"/>
        <v>4</v>
      </c>
      <c r="W37" s="343">
        <f t="shared" si="21"/>
        <v>3.5459505041623602</v>
      </c>
      <c r="X37" s="343">
        <f t="shared" si="22"/>
        <v>8.8632516364488083</v>
      </c>
      <c r="Y37" s="343">
        <f t="shared" si="23"/>
        <v>0.40007331954563541</v>
      </c>
      <c r="Z37" s="344">
        <f t="shared" si="24"/>
        <v>155.41208820433613</v>
      </c>
      <c r="AA37" s="349">
        <f t="shared" si="25"/>
        <v>185.74846018175631</v>
      </c>
    </row>
    <row r="38" spans="1:27" ht="15.6" x14ac:dyDescent="0.3">
      <c r="A38" s="367" t="s">
        <v>313</v>
      </c>
      <c r="B38" s="364" t="s">
        <v>314</v>
      </c>
      <c r="C38" s="364" t="s">
        <v>315</v>
      </c>
      <c r="D38" s="364">
        <v>484.30900000000003</v>
      </c>
      <c r="E38" s="365">
        <v>327.14101685061922</v>
      </c>
      <c r="F38" s="344">
        <f t="shared" si="14"/>
        <v>157.1679831493808</v>
      </c>
      <c r="G38" s="344">
        <f>F38*Inflation!$D$5</f>
        <v>163.19710415097418</v>
      </c>
      <c r="H38" s="349">
        <v>148.88999999999999</v>
      </c>
      <c r="I38" s="370">
        <f>O38*Inflation!$D$6</f>
        <v>512.44244152243095</v>
      </c>
      <c r="J38" s="341">
        <f>P38*Inflation!$D$6</f>
        <v>346.14459239258827</v>
      </c>
      <c r="K38" s="341">
        <f>Q38*Inflation!$D$6</f>
        <v>116.17338702233705</v>
      </c>
      <c r="L38" s="341">
        <f>R38*Inflation!$D$6</f>
        <v>166.29784912984269</v>
      </c>
      <c r="M38" s="341">
        <f>S38*Inflation!$D$6</f>
        <v>628.61582854476796</v>
      </c>
      <c r="N38" s="371">
        <f>AA38*Inflation!$D$6</f>
        <v>351.2589378400026</v>
      </c>
      <c r="O38" s="377">
        <f t="shared" si="16"/>
        <v>484.30900000000003</v>
      </c>
      <c r="P38" s="342">
        <f t="shared" si="17"/>
        <v>327.14101685061922</v>
      </c>
      <c r="Q38" s="617">
        <f>H38*'Labor Adjustment'!$B$10</f>
        <v>109.79538839180678</v>
      </c>
      <c r="R38" s="342">
        <f t="shared" si="18"/>
        <v>157.1679831493808</v>
      </c>
      <c r="S38" s="378">
        <f t="shared" si="19"/>
        <v>594.10438839180676</v>
      </c>
      <c r="T38" s="384">
        <v>0.05</v>
      </c>
      <c r="U38" s="343">
        <v>12</v>
      </c>
      <c r="V38" s="343">
        <f t="shared" si="20"/>
        <v>4</v>
      </c>
      <c r="W38" s="343">
        <f t="shared" si="21"/>
        <v>3.5459505041623602</v>
      </c>
      <c r="X38" s="343">
        <f t="shared" si="22"/>
        <v>8.8632516364488083</v>
      </c>
      <c r="Y38" s="343">
        <f t="shared" si="23"/>
        <v>0.40007331954563541</v>
      </c>
      <c r="Z38" s="344">
        <f t="shared" si="24"/>
        <v>174.80659807567434</v>
      </c>
      <c r="AA38" s="349">
        <f t="shared" si="25"/>
        <v>331.97458122505515</v>
      </c>
    </row>
    <row r="39" spans="1:27" ht="15.6" x14ac:dyDescent="0.3">
      <c r="A39" s="367" t="s">
        <v>316</v>
      </c>
      <c r="B39" s="364" t="s">
        <v>284</v>
      </c>
      <c r="C39" s="364" t="s">
        <v>317</v>
      </c>
      <c r="D39" s="364">
        <v>255.35249999999996</v>
      </c>
      <c r="E39" s="365">
        <v>206.9596592070873</v>
      </c>
      <c r="F39" s="344">
        <f t="shared" si="14"/>
        <v>48.392840792912665</v>
      </c>
      <c r="G39" s="344">
        <f>F39*Inflation!$D$5</f>
        <v>50.24923855856958</v>
      </c>
      <c r="H39" s="349">
        <v>148.88999999999999</v>
      </c>
      <c r="I39" s="370">
        <f>O39*Inflation!$D$6</f>
        <v>270.18589072029744</v>
      </c>
      <c r="J39" s="341">
        <f>P39*Inflation!$D$6</f>
        <v>218.98191662911503</v>
      </c>
      <c r="K39" s="341">
        <f>Q39*Inflation!$D$6</f>
        <v>116.17338702233705</v>
      </c>
      <c r="L39" s="341">
        <f>R39*Inflation!$D$6</f>
        <v>51.203974091182403</v>
      </c>
      <c r="M39" s="341">
        <f>S39*Inflation!$D$6</f>
        <v>386.3592777426345</v>
      </c>
      <c r="N39" s="371">
        <f>AA39*Inflation!$D$6</f>
        <v>185.29066898634423</v>
      </c>
      <c r="O39" s="377">
        <f t="shared" si="16"/>
        <v>255.35249999999996</v>
      </c>
      <c r="P39" s="342">
        <f t="shared" si="17"/>
        <v>206.9596592070873</v>
      </c>
      <c r="Q39" s="617">
        <f>H39*'Labor Adjustment'!$B$10</f>
        <v>109.79538839180678</v>
      </c>
      <c r="R39" s="342">
        <f t="shared" si="18"/>
        <v>48.392840792912665</v>
      </c>
      <c r="S39" s="378">
        <f t="shared" si="19"/>
        <v>365.14788839180676</v>
      </c>
      <c r="T39" s="384">
        <v>0.05</v>
      </c>
      <c r="U39" s="343">
        <v>12</v>
      </c>
      <c r="V39" s="343">
        <f t="shared" si="20"/>
        <v>4</v>
      </c>
      <c r="W39" s="343">
        <f t="shared" si="21"/>
        <v>3.5459505041623602</v>
      </c>
      <c r="X39" s="343">
        <f t="shared" si="22"/>
        <v>8.8632516364488083</v>
      </c>
      <c r="Y39" s="343">
        <f t="shared" si="23"/>
        <v>0.40007331954563541</v>
      </c>
      <c r="Z39" s="344">
        <f t="shared" si="24"/>
        <v>126.7252433757253</v>
      </c>
      <c r="AA39" s="349">
        <f t="shared" si="25"/>
        <v>175.11808416863795</v>
      </c>
    </row>
    <row r="40" spans="1:27" ht="15.6" x14ac:dyDescent="0.3">
      <c r="A40" s="367" t="s">
        <v>318</v>
      </c>
      <c r="B40" s="364" t="s">
        <v>287</v>
      </c>
      <c r="C40" s="364" t="s">
        <v>30</v>
      </c>
      <c r="D40" s="364">
        <v>309</v>
      </c>
      <c r="E40" s="365">
        <v>217.02555640867877</v>
      </c>
      <c r="F40" s="344">
        <f t="shared" si="14"/>
        <v>91.974443591321233</v>
      </c>
      <c r="G40" s="344">
        <f>F40*Inflation!$D$5</f>
        <v>95.502675221927888</v>
      </c>
      <c r="H40" s="349">
        <v>148.88999999999999</v>
      </c>
      <c r="I40" s="370">
        <f>O40*Inflation!$D$6</f>
        <v>326.94976643099994</v>
      </c>
      <c r="J40" s="341">
        <f>P40*Inflation!$D$6</f>
        <v>229.63254037985544</v>
      </c>
      <c r="K40" s="341">
        <f>Q40*Inflation!$D$6</f>
        <v>116.17338702233705</v>
      </c>
      <c r="L40" s="341">
        <f>R40*Inflation!$D$6</f>
        <v>97.31722605114453</v>
      </c>
      <c r="M40" s="341">
        <f>S40*Inflation!$D$6</f>
        <v>443.12315345333701</v>
      </c>
      <c r="N40" s="371">
        <f>AA40*Inflation!$D$6</f>
        <v>235.66495134549669</v>
      </c>
      <c r="O40" s="377">
        <f t="shared" si="16"/>
        <v>309</v>
      </c>
      <c r="P40" s="342">
        <f t="shared" si="17"/>
        <v>217.02555640867877</v>
      </c>
      <c r="Q40" s="617">
        <f>H40*'Labor Adjustment'!$B$10</f>
        <v>109.79538839180678</v>
      </c>
      <c r="R40" s="342">
        <f t="shared" si="18"/>
        <v>91.974443591321233</v>
      </c>
      <c r="S40" s="378">
        <f t="shared" si="19"/>
        <v>418.7953883918068</v>
      </c>
      <c r="T40" s="384">
        <v>0.05</v>
      </c>
      <c r="U40" s="343">
        <v>12</v>
      </c>
      <c r="V40" s="343">
        <f t="shared" si="20"/>
        <v>4</v>
      </c>
      <c r="W40" s="343">
        <f t="shared" si="21"/>
        <v>3.5459505041623602</v>
      </c>
      <c r="X40" s="343">
        <f t="shared" si="22"/>
        <v>8.8632516364488083</v>
      </c>
      <c r="Y40" s="343">
        <f t="shared" si="23"/>
        <v>0.40007331954563541</v>
      </c>
      <c r="Z40" s="344">
        <f t="shared" si="24"/>
        <v>130.75234028337113</v>
      </c>
      <c r="AA40" s="349">
        <f t="shared" si="25"/>
        <v>222.72678387469236</v>
      </c>
    </row>
    <row r="41" spans="1:27" ht="15.6" x14ac:dyDescent="0.3">
      <c r="A41" s="367" t="s">
        <v>319</v>
      </c>
      <c r="B41" s="364" t="s">
        <v>290</v>
      </c>
      <c r="C41" s="364" t="s">
        <v>320</v>
      </c>
      <c r="D41" s="364">
        <v>525.36625000000004</v>
      </c>
      <c r="E41" s="365">
        <v>221.73907993358304</v>
      </c>
      <c r="F41" s="344">
        <f t="shared" si="14"/>
        <v>303.62717006641697</v>
      </c>
      <c r="G41" s="344">
        <f>F41*Inflation!$D$5</f>
        <v>315.27461193733473</v>
      </c>
      <c r="H41" s="349">
        <v>148.88999999999999</v>
      </c>
      <c r="I41" s="370">
        <f>O41*Inflation!$D$6</f>
        <v>555.88470138585876</v>
      </c>
      <c r="J41" s="341">
        <f>P41*Inflation!$D$6</f>
        <v>234.61987182171458</v>
      </c>
      <c r="K41" s="341">
        <f>Q41*Inflation!$D$6</f>
        <v>116.17338702233705</v>
      </c>
      <c r="L41" s="341">
        <f>R41*Inflation!$D$6</f>
        <v>321.26482956414412</v>
      </c>
      <c r="M41" s="341">
        <f>S41*Inflation!$D$6</f>
        <v>672.05808840819577</v>
      </c>
      <c r="N41" s="371">
        <f>AA41*Inflation!$D$6</f>
        <v>461.60785310411518</v>
      </c>
      <c r="O41" s="377">
        <f t="shared" si="16"/>
        <v>525.36625000000004</v>
      </c>
      <c r="P41" s="342">
        <f t="shared" si="17"/>
        <v>221.73907993358304</v>
      </c>
      <c r="Q41" s="617">
        <f>H41*'Labor Adjustment'!$B$10</f>
        <v>109.79538839180678</v>
      </c>
      <c r="R41" s="342">
        <f t="shared" si="18"/>
        <v>303.62717006641697</v>
      </c>
      <c r="S41" s="378">
        <f t="shared" si="19"/>
        <v>635.16163839180683</v>
      </c>
      <c r="T41" s="384">
        <v>0.05</v>
      </c>
      <c r="U41" s="343">
        <v>12</v>
      </c>
      <c r="V41" s="343">
        <f t="shared" si="20"/>
        <v>4</v>
      </c>
      <c r="W41" s="343">
        <f t="shared" si="21"/>
        <v>3.5459505041623602</v>
      </c>
      <c r="X41" s="343">
        <f t="shared" si="22"/>
        <v>8.8632516364488083</v>
      </c>
      <c r="Y41" s="343">
        <f t="shared" si="23"/>
        <v>0.40007331954563541</v>
      </c>
      <c r="Z41" s="344">
        <f t="shared" si="24"/>
        <v>132.63809528673602</v>
      </c>
      <c r="AA41" s="349">
        <f t="shared" si="25"/>
        <v>436.26526535315298</v>
      </c>
    </row>
    <row r="42" spans="1:27" ht="15.6" x14ac:dyDescent="0.3">
      <c r="A42" s="367" t="s">
        <v>321</v>
      </c>
      <c r="B42" s="364" t="s">
        <v>293</v>
      </c>
      <c r="C42" s="364" t="s">
        <v>322</v>
      </c>
      <c r="D42" s="364">
        <v>488.79333333333335</v>
      </c>
      <c r="E42" s="365">
        <v>265.94902923343085</v>
      </c>
      <c r="F42" s="344">
        <f t="shared" si="14"/>
        <v>222.8443040999025</v>
      </c>
      <c r="G42" s="344">
        <f>F42*Inflation!$D$5</f>
        <v>231.39283444947884</v>
      </c>
      <c r="H42" s="349">
        <v>148.88999999999999</v>
      </c>
      <c r="I42" s="370">
        <f>O42*Inflation!$D$6</f>
        <v>517.18726914680667</v>
      </c>
      <c r="J42" s="341">
        <f>P42*Inflation!$D$6</f>
        <v>281.39797084278769</v>
      </c>
      <c r="K42" s="341">
        <f>Q42*Inflation!$D$6</f>
        <v>116.17338702233705</v>
      </c>
      <c r="L42" s="341">
        <f>R42*Inflation!$D$6</f>
        <v>235.78929830401893</v>
      </c>
      <c r="M42" s="341">
        <f>S42*Inflation!$D$6</f>
        <v>633.36065616914368</v>
      </c>
      <c r="N42" s="371">
        <f>AA42*Inflation!$D$6</f>
        <v>394.84699120138515</v>
      </c>
      <c r="O42" s="377">
        <f t="shared" si="16"/>
        <v>488.79333333333335</v>
      </c>
      <c r="P42" s="342">
        <f t="shared" si="17"/>
        <v>265.94902923343085</v>
      </c>
      <c r="Q42" s="617">
        <f>H42*'Labor Adjustment'!$B$10</f>
        <v>109.79538839180678</v>
      </c>
      <c r="R42" s="342">
        <f t="shared" si="18"/>
        <v>222.8443040999025</v>
      </c>
      <c r="S42" s="378">
        <f t="shared" si="19"/>
        <v>598.58872172514009</v>
      </c>
      <c r="T42" s="384">
        <v>0.05</v>
      </c>
      <c r="U42" s="343">
        <v>12</v>
      </c>
      <c r="V42" s="343">
        <f t="shared" si="20"/>
        <v>4</v>
      </c>
      <c r="W42" s="343">
        <f t="shared" si="21"/>
        <v>3.5459505041623602</v>
      </c>
      <c r="X42" s="343">
        <f t="shared" si="22"/>
        <v>8.8632516364488083</v>
      </c>
      <c r="Y42" s="343">
        <f t="shared" si="23"/>
        <v>0.40007331954563541</v>
      </c>
      <c r="Z42" s="344">
        <f t="shared" si="24"/>
        <v>150.32531646007038</v>
      </c>
      <c r="AA42" s="349">
        <f t="shared" si="25"/>
        <v>373.16962055997288</v>
      </c>
    </row>
    <row r="43" spans="1:27" ht="15.6" x14ac:dyDescent="0.3">
      <c r="A43" s="367" t="s">
        <v>323</v>
      </c>
      <c r="B43" s="364" t="s">
        <v>296</v>
      </c>
      <c r="C43" s="364" t="s">
        <v>324</v>
      </c>
      <c r="D43" s="364">
        <v>588.92750000000012</v>
      </c>
      <c r="E43" s="365">
        <v>271.87342982247196</v>
      </c>
      <c r="F43" s="344">
        <f t="shared" si="14"/>
        <v>317.05407017752816</v>
      </c>
      <c r="G43" s="344">
        <f>F43*Inflation!$D$5</f>
        <v>329.21658136360827</v>
      </c>
      <c r="H43" s="349">
        <v>148.88999999999999</v>
      </c>
      <c r="I43" s="370">
        <f>O43*Inflation!$D$6</f>
        <v>623.13821543622259</v>
      </c>
      <c r="J43" s="341">
        <f>P43*Inflation!$D$6</f>
        <v>287.66651902670571</v>
      </c>
      <c r="K43" s="341">
        <f>Q43*Inflation!$D$6</f>
        <v>116.17338702233705</v>
      </c>
      <c r="L43" s="341">
        <f>R43*Inflation!$D$6</f>
        <v>335.47169640951682</v>
      </c>
      <c r="M43" s="341">
        <f>S43*Inflation!$D$6</f>
        <v>739.31160245855961</v>
      </c>
      <c r="N43" s="371">
        <f>AA43*Inflation!$D$6</f>
        <v>497.0372681875549</v>
      </c>
      <c r="O43" s="377">
        <f t="shared" si="16"/>
        <v>588.92750000000012</v>
      </c>
      <c r="P43" s="342">
        <f t="shared" si="17"/>
        <v>271.87342982247196</v>
      </c>
      <c r="Q43" s="617">
        <f>H43*'Labor Adjustment'!$B$10</f>
        <v>109.79538839180678</v>
      </c>
      <c r="R43" s="342">
        <f t="shared" si="18"/>
        <v>317.05407017752816</v>
      </c>
      <c r="S43" s="378">
        <f t="shared" si="19"/>
        <v>698.72288839180692</v>
      </c>
      <c r="T43" s="384">
        <v>0.05</v>
      </c>
      <c r="U43" s="343">
        <v>12</v>
      </c>
      <c r="V43" s="343">
        <f t="shared" si="20"/>
        <v>4</v>
      </c>
      <c r="W43" s="343">
        <f t="shared" si="21"/>
        <v>3.5459505041623602</v>
      </c>
      <c r="X43" s="343">
        <f t="shared" si="22"/>
        <v>8.8632516364488083</v>
      </c>
      <c r="Y43" s="343">
        <f t="shared" si="23"/>
        <v>0.40007331954563541</v>
      </c>
      <c r="Z43" s="344">
        <f t="shared" si="24"/>
        <v>152.69551107004617</v>
      </c>
      <c r="AA43" s="349">
        <f t="shared" si="25"/>
        <v>469.74958124757433</v>
      </c>
    </row>
    <row r="44" spans="1:27" ht="15.6" x14ac:dyDescent="0.3">
      <c r="A44" s="367" t="s">
        <v>325</v>
      </c>
      <c r="B44" s="364" t="s">
        <v>326</v>
      </c>
      <c r="C44" s="364" t="s">
        <v>327</v>
      </c>
      <c r="D44" s="364">
        <v>722.90099999999995</v>
      </c>
      <c r="E44" s="365">
        <v>278.2133045066825</v>
      </c>
      <c r="F44" s="344">
        <f t="shared" si="14"/>
        <v>444.68769549331745</v>
      </c>
      <c r="G44" s="344">
        <f>F44*Inflation!$D$5</f>
        <v>461.74636018013655</v>
      </c>
      <c r="H44" s="349">
        <v>148.88999999999999</v>
      </c>
      <c r="I44" s="370">
        <f>O44*Inflation!$D$6</f>
        <v>764.89421716095887</v>
      </c>
      <c r="J44" s="341">
        <f>P44*Inflation!$D$6</f>
        <v>294.37467613739972</v>
      </c>
      <c r="K44" s="341">
        <f>Q44*Inflation!$D$6</f>
        <v>116.17338702233705</v>
      </c>
      <c r="L44" s="341">
        <f>R44*Inflation!$D$6</f>
        <v>470.51954102355916</v>
      </c>
      <c r="M44" s="341">
        <f>S44*Inflation!$D$6</f>
        <v>881.06760418329588</v>
      </c>
      <c r="N44" s="371">
        <f>AA44*Inflation!$D$6</f>
        <v>634.7688674849062</v>
      </c>
      <c r="O44" s="377">
        <f t="shared" si="16"/>
        <v>722.90099999999995</v>
      </c>
      <c r="P44" s="342">
        <f t="shared" si="17"/>
        <v>278.2133045066825</v>
      </c>
      <c r="Q44" s="617">
        <f>H44*'Labor Adjustment'!$B$10</f>
        <v>109.79538839180678</v>
      </c>
      <c r="R44" s="342">
        <f t="shared" si="18"/>
        <v>444.68769549331745</v>
      </c>
      <c r="S44" s="378">
        <f t="shared" si="19"/>
        <v>832.69638839180675</v>
      </c>
      <c r="T44" s="384">
        <v>0.05</v>
      </c>
      <c r="U44" s="343">
        <v>12</v>
      </c>
      <c r="V44" s="343">
        <f t="shared" si="20"/>
        <v>4</v>
      </c>
      <c r="W44" s="343">
        <f t="shared" si="21"/>
        <v>3.5459505041623602</v>
      </c>
      <c r="X44" s="343">
        <f t="shared" si="22"/>
        <v>8.8632516364488083</v>
      </c>
      <c r="Y44" s="343">
        <f t="shared" si="23"/>
        <v>0.40007331954563541</v>
      </c>
      <c r="Z44" s="344">
        <f t="shared" si="24"/>
        <v>155.23192578046164</v>
      </c>
      <c r="AA44" s="349">
        <f t="shared" si="25"/>
        <v>599.91962127377906</v>
      </c>
    </row>
    <row r="45" spans="1:27" ht="15.6" x14ac:dyDescent="0.3">
      <c r="A45" s="367" t="s">
        <v>328</v>
      </c>
      <c r="B45" s="364" t="s">
        <v>304</v>
      </c>
      <c r="C45" s="364" t="s">
        <v>329</v>
      </c>
      <c r="D45" s="364">
        <v>1028.1500000000001</v>
      </c>
      <c r="E45" s="365">
        <v>302.79080972711745</v>
      </c>
      <c r="F45" s="344">
        <f t="shared" si="14"/>
        <v>725.35919027288264</v>
      </c>
      <c r="G45" s="344">
        <f>F45*Inflation!$D$5</f>
        <v>753.18469417094059</v>
      </c>
      <c r="H45" s="349">
        <v>148.88999999999999</v>
      </c>
      <c r="I45" s="370">
        <f>O45*Inflation!$D$6</f>
        <v>1087.87508853085</v>
      </c>
      <c r="J45" s="341">
        <f>P45*Inflation!$D$6</f>
        <v>320.37988517066151</v>
      </c>
      <c r="K45" s="341">
        <f>Q45*Inflation!$D$6</f>
        <v>116.17338702233705</v>
      </c>
      <c r="L45" s="341">
        <f>R45*Inflation!$D$6</f>
        <v>767.4952033601885</v>
      </c>
      <c r="M45" s="341">
        <f>S45*Inflation!$D$6</f>
        <v>1204.0484755531868</v>
      </c>
      <c r="N45" s="371">
        <f>AA45*Inflation!$D$6</f>
        <v>942.14852012495066</v>
      </c>
      <c r="O45" s="377">
        <f t="shared" si="16"/>
        <v>1028.1500000000001</v>
      </c>
      <c r="P45" s="342">
        <f t="shared" si="17"/>
        <v>302.79080972711745</v>
      </c>
      <c r="Q45" s="617">
        <f>H45*'Labor Adjustment'!$B$10</f>
        <v>109.79538839180678</v>
      </c>
      <c r="R45" s="342">
        <f t="shared" si="18"/>
        <v>725.35919027288264</v>
      </c>
      <c r="S45" s="378">
        <f t="shared" si="19"/>
        <v>1137.9453883918068</v>
      </c>
      <c r="T45" s="384">
        <v>0.05</v>
      </c>
      <c r="U45" s="343">
        <v>12</v>
      </c>
      <c r="V45" s="343">
        <f t="shared" si="20"/>
        <v>4</v>
      </c>
      <c r="W45" s="343">
        <f t="shared" si="21"/>
        <v>3.5459505041623602</v>
      </c>
      <c r="X45" s="343">
        <f t="shared" si="22"/>
        <v>8.8632516364488083</v>
      </c>
      <c r="Y45" s="343">
        <f t="shared" si="23"/>
        <v>0.40007331954563541</v>
      </c>
      <c r="Z45" s="344">
        <f t="shared" si="24"/>
        <v>165.06472988015122</v>
      </c>
      <c r="AA45" s="349">
        <f t="shared" si="25"/>
        <v>890.42392015303381</v>
      </c>
    </row>
    <row r="46" spans="1:27" ht="16.2" thickBot="1" x14ac:dyDescent="0.35">
      <c r="A46" s="367" t="s">
        <v>330</v>
      </c>
      <c r="B46" s="364" t="s">
        <v>307</v>
      </c>
      <c r="C46" s="364" t="s">
        <v>331</v>
      </c>
      <c r="D46" s="364">
        <v>1492.35</v>
      </c>
      <c r="E46" s="365">
        <v>321.16039697062013</v>
      </c>
      <c r="F46" s="344">
        <f t="shared" si="14"/>
        <v>1171.1896030293797</v>
      </c>
      <c r="G46" s="344">
        <f>F46*Inflation!$D$5</f>
        <v>1216.1176073911895</v>
      </c>
      <c r="H46" s="349">
        <v>148.88999999999999</v>
      </c>
      <c r="I46" s="372">
        <f>O46*Inflation!$D$6</f>
        <v>1579.0404010786497</v>
      </c>
      <c r="J46" s="373">
        <f>P46*Inflation!$D$6</f>
        <v>339.81655914702742</v>
      </c>
      <c r="K46" s="373">
        <f>Q46*Inflation!$D$6</f>
        <v>116.17338702233705</v>
      </c>
      <c r="L46" s="373">
        <f>R46*Inflation!$D$6</f>
        <v>1239.2238419316222</v>
      </c>
      <c r="M46" s="373">
        <f>S46*Inflation!$D$6</f>
        <v>1695.2137881009867</v>
      </c>
      <c r="N46" s="374">
        <f>AA46*Inflation!$D$6</f>
        <v>1421.6532533750353</v>
      </c>
      <c r="O46" s="379">
        <f t="shared" si="16"/>
        <v>1492.35</v>
      </c>
      <c r="P46" s="380">
        <f t="shared" si="17"/>
        <v>321.16039697062013</v>
      </c>
      <c r="Q46" s="617">
        <f>H46*'Labor Adjustment'!$B$10</f>
        <v>109.79538839180678</v>
      </c>
      <c r="R46" s="380">
        <f t="shared" si="18"/>
        <v>1171.1896030293797</v>
      </c>
      <c r="S46" s="381">
        <f t="shared" si="19"/>
        <v>1602.1453883918066</v>
      </c>
      <c r="T46" s="385">
        <v>0.05</v>
      </c>
      <c r="U46" s="386">
        <v>12</v>
      </c>
      <c r="V46" s="386">
        <f t="shared" si="20"/>
        <v>4</v>
      </c>
      <c r="W46" s="386">
        <f t="shared" si="21"/>
        <v>3.5459505041623602</v>
      </c>
      <c r="X46" s="386">
        <f t="shared" si="22"/>
        <v>8.8632516364488083</v>
      </c>
      <c r="Y46" s="386">
        <f t="shared" si="23"/>
        <v>0.40007331954563541</v>
      </c>
      <c r="Z46" s="344">
        <f t="shared" si="24"/>
        <v>172.41391162734249</v>
      </c>
      <c r="AA46" s="349">
        <f t="shared" si="25"/>
        <v>1343.6035146567222</v>
      </c>
    </row>
    <row r="47" spans="1:27" ht="14.4" customHeight="1" x14ac:dyDescent="0.3">
      <c r="A47" s="721" t="s">
        <v>978</v>
      </c>
      <c r="B47" s="722"/>
      <c r="C47" s="722"/>
      <c r="D47" s="722"/>
      <c r="E47" s="722"/>
      <c r="F47" s="722"/>
      <c r="G47" s="722"/>
      <c r="H47" s="723"/>
    </row>
    <row r="48" spans="1:27" ht="14.4" customHeight="1" thickBot="1" x14ac:dyDescent="0.35">
      <c r="A48" s="724"/>
      <c r="B48" s="725"/>
      <c r="C48" s="725"/>
      <c r="D48" s="725"/>
      <c r="E48" s="725"/>
      <c r="F48" s="725"/>
      <c r="G48" s="725"/>
      <c r="H48" s="726"/>
    </row>
    <row r="50" spans="1:2" x14ac:dyDescent="0.3">
      <c r="A50" s="101" t="s">
        <v>28</v>
      </c>
      <c r="B50" s="101"/>
    </row>
  </sheetData>
  <mergeCells count="23">
    <mergeCell ref="A3:B3"/>
    <mergeCell ref="C3:D3"/>
    <mergeCell ref="E3:H3"/>
    <mergeCell ref="A4:B4"/>
    <mergeCell ref="C4:D4"/>
    <mergeCell ref="E4:H4"/>
    <mergeCell ref="A1:B1"/>
    <mergeCell ref="C1:D1"/>
    <mergeCell ref="E1:H1"/>
    <mergeCell ref="A2:B2"/>
    <mergeCell ref="C2:D2"/>
    <mergeCell ref="E2:H2"/>
    <mergeCell ref="T25:AA25"/>
    <mergeCell ref="A25:H25"/>
    <mergeCell ref="A47:H47"/>
    <mergeCell ref="A48:H48"/>
    <mergeCell ref="X9:AE9"/>
    <mergeCell ref="M9:R9"/>
    <mergeCell ref="S9:W9"/>
    <mergeCell ref="A23:L23"/>
    <mergeCell ref="A9:L9"/>
    <mergeCell ref="I25:N25"/>
    <mergeCell ref="O25:S25"/>
  </mergeCells>
  <hyperlinks>
    <hyperlink ref="A50" location="TRM_MCS_measures!A1" display="Return To TRM_MCS_Measures"/>
  </hyperlink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A40"/>
  <sheetViews>
    <sheetView topLeftCell="D1" zoomScale="70" zoomScaleNormal="70" workbookViewId="0">
      <selection activeCell="Q6" sqref="Q6"/>
    </sheetView>
  </sheetViews>
  <sheetFormatPr defaultRowHeight="14.4" x14ac:dyDescent="0.3"/>
  <cols>
    <col min="1" max="1" width="12.109375" customWidth="1"/>
    <col min="2" max="2" width="49" customWidth="1"/>
    <col min="3" max="3" width="59.6640625" customWidth="1"/>
    <col min="4" max="4" width="10.109375" customWidth="1"/>
    <col min="5" max="5" width="13.44140625" bestFit="1" customWidth="1"/>
    <col min="6" max="6" width="10.6640625" customWidth="1"/>
    <col min="7" max="7" width="14.5546875" customWidth="1"/>
    <col min="8" max="8" width="12.33203125" customWidth="1"/>
    <col min="9" max="9" width="15.88671875" customWidth="1"/>
    <col min="10" max="10" width="17.109375" customWidth="1"/>
    <col min="11" max="11" width="10.6640625" customWidth="1"/>
    <col min="12" max="12" width="14.109375" customWidth="1"/>
    <col min="13" max="13" width="17.44140625" customWidth="1"/>
    <col min="14" max="14" width="19.33203125" customWidth="1"/>
    <col min="15" max="15" width="11" customWidth="1"/>
    <col min="16" max="16" width="15" customWidth="1"/>
    <col min="17" max="17" width="12.5546875" customWidth="1"/>
    <col min="18" max="18" width="14.88671875" customWidth="1"/>
    <col min="19" max="19" width="16.44140625" customWidth="1"/>
    <col min="20" max="20" width="13.109375" customWidth="1"/>
    <col min="23" max="23" width="17.5546875" customWidth="1"/>
    <col min="24" max="24" width="17.44140625" customWidth="1"/>
    <col min="26" max="26" width="21.44140625" customWidth="1"/>
    <col min="27" max="27" width="17.5546875" customWidth="1"/>
  </cols>
  <sheetData>
    <row r="1" spans="1:27" s="69" customFormat="1" ht="91.2" x14ac:dyDescent="0.45">
      <c r="A1" s="688" t="s">
        <v>1003</v>
      </c>
      <c r="B1" s="689"/>
      <c r="C1" s="688" t="s">
        <v>170</v>
      </c>
      <c r="D1" s="689"/>
      <c r="E1" s="688" t="s">
        <v>29</v>
      </c>
      <c r="F1" s="690"/>
      <c r="G1" s="690"/>
      <c r="H1" s="689"/>
      <c r="I1" s="173" t="s">
        <v>919</v>
      </c>
      <c r="J1" s="173" t="s">
        <v>32</v>
      </c>
      <c r="K1" s="173" t="s">
        <v>920</v>
      </c>
      <c r="L1" s="173" t="s">
        <v>904</v>
      </c>
      <c r="M1" s="173" t="s">
        <v>905</v>
      </c>
      <c r="N1" s="173" t="s">
        <v>906</v>
      </c>
      <c r="O1" s="43"/>
      <c r="P1" s="43"/>
      <c r="Q1" s="43"/>
      <c r="R1" s="43"/>
      <c r="S1" s="43"/>
      <c r="T1" s="43"/>
      <c r="U1" s="43"/>
    </row>
    <row r="2" spans="1:27" s="69" customFormat="1" ht="15.6" x14ac:dyDescent="0.3">
      <c r="A2" s="691" t="s">
        <v>1020</v>
      </c>
      <c r="B2" s="693"/>
      <c r="C2" s="691" t="s">
        <v>1021</v>
      </c>
      <c r="D2" s="693"/>
      <c r="E2" s="691" t="s">
        <v>646</v>
      </c>
      <c r="F2" s="692"/>
      <c r="G2" s="692"/>
      <c r="H2" s="693"/>
      <c r="I2" s="555">
        <f t="shared" ref="I2:N2" si="0">I9</f>
        <v>19.063333333333333</v>
      </c>
      <c r="J2" s="555">
        <f t="shared" si="0"/>
        <v>7.7666666666666666</v>
      </c>
      <c r="K2" s="555">
        <f>K9</f>
        <v>3.3036694203458565</v>
      </c>
      <c r="L2" s="555">
        <f t="shared" si="0"/>
        <v>11.296666666666667</v>
      </c>
      <c r="M2" s="555">
        <f t="shared" si="0"/>
        <v>22.367002753679191</v>
      </c>
      <c r="N2" s="555">
        <f t="shared" si="0"/>
        <v>14.403902781804435</v>
      </c>
      <c r="O2" s="43"/>
      <c r="P2" s="43"/>
      <c r="Q2" s="43"/>
      <c r="R2" s="43"/>
      <c r="S2" s="43"/>
      <c r="T2" s="43"/>
      <c r="U2" s="43"/>
    </row>
    <row r="3" spans="1:27" s="69" customFormat="1" ht="15" thickBot="1" x14ac:dyDescent="0.35">
      <c r="I3" s="43"/>
      <c r="J3" s="43"/>
      <c r="K3" s="43"/>
      <c r="L3" s="43"/>
      <c r="M3" s="43"/>
      <c r="N3" s="43"/>
      <c r="O3" s="43"/>
      <c r="P3" s="43"/>
      <c r="Q3" s="43"/>
      <c r="R3" s="43"/>
      <c r="S3" s="43"/>
      <c r="T3" s="43"/>
      <c r="U3" s="43"/>
    </row>
    <row r="4" spans="1:27" ht="21" x14ac:dyDescent="0.4">
      <c r="A4" s="744" t="s">
        <v>631</v>
      </c>
      <c r="B4" s="745"/>
      <c r="C4" s="745"/>
      <c r="D4" s="745"/>
      <c r="E4" s="745"/>
      <c r="F4" s="745"/>
      <c r="G4" s="745"/>
      <c r="H4" s="746"/>
      <c r="I4" s="740" t="s">
        <v>983</v>
      </c>
      <c r="J4" s="703"/>
      <c r="K4" s="703"/>
      <c r="L4" s="703"/>
      <c r="M4" s="703"/>
      <c r="N4" s="704"/>
      <c r="O4" s="728" t="s">
        <v>899</v>
      </c>
      <c r="P4" s="672"/>
      <c r="Q4" s="672"/>
      <c r="R4" s="672"/>
      <c r="S4" s="673"/>
      <c r="T4" s="705" t="s">
        <v>915</v>
      </c>
      <c r="U4" s="705"/>
      <c r="V4" s="705"/>
      <c r="W4" s="705"/>
      <c r="X4" s="705"/>
      <c r="Y4" s="705"/>
      <c r="Z4" s="705"/>
      <c r="AA4" s="705"/>
    </row>
    <row r="5" spans="1:27" ht="78" x14ac:dyDescent="0.3">
      <c r="A5" s="410" t="s">
        <v>169</v>
      </c>
      <c r="B5" s="313" t="s">
        <v>170</v>
      </c>
      <c r="C5" s="313" t="s">
        <v>29</v>
      </c>
      <c r="D5" s="313" t="s">
        <v>233</v>
      </c>
      <c r="E5" s="313" t="s">
        <v>234</v>
      </c>
      <c r="F5" s="313" t="s">
        <v>173</v>
      </c>
      <c r="G5" s="313" t="s">
        <v>552</v>
      </c>
      <c r="H5" s="347" t="s">
        <v>901</v>
      </c>
      <c r="I5" s="199" t="s">
        <v>919</v>
      </c>
      <c r="J5" s="191" t="s">
        <v>902</v>
      </c>
      <c r="K5" s="191" t="s">
        <v>1032</v>
      </c>
      <c r="L5" s="191" t="s">
        <v>904</v>
      </c>
      <c r="M5" s="191" t="s">
        <v>905</v>
      </c>
      <c r="N5" s="200" t="s">
        <v>906</v>
      </c>
      <c r="O5" s="416" t="s">
        <v>172</v>
      </c>
      <c r="P5" s="169" t="s">
        <v>902</v>
      </c>
      <c r="Q5" s="170" t="s">
        <v>1031</v>
      </c>
      <c r="R5" s="170" t="s">
        <v>904</v>
      </c>
      <c r="S5" s="171" t="s">
        <v>905</v>
      </c>
      <c r="T5" s="171" t="s">
        <v>907</v>
      </c>
      <c r="U5" s="171" t="s">
        <v>910</v>
      </c>
      <c r="V5" s="171" t="s">
        <v>911</v>
      </c>
      <c r="W5" s="309" t="s">
        <v>908</v>
      </c>
      <c r="X5" s="309" t="s">
        <v>909</v>
      </c>
      <c r="Y5" s="309" t="s">
        <v>929</v>
      </c>
      <c r="Z5" s="309" t="s">
        <v>912</v>
      </c>
      <c r="AA5" s="169" t="s">
        <v>906</v>
      </c>
    </row>
    <row r="6" spans="1:27" ht="15.6" x14ac:dyDescent="0.3">
      <c r="A6" s="411" t="s">
        <v>632</v>
      </c>
      <c r="B6" s="412" t="s">
        <v>638</v>
      </c>
      <c r="C6" s="137" t="s">
        <v>635</v>
      </c>
      <c r="D6" s="137">
        <v>15.12</v>
      </c>
      <c r="E6" s="137">
        <v>7.53</v>
      </c>
      <c r="F6" s="137">
        <f>D6-E6</f>
        <v>7.589999999999999</v>
      </c>
      <c r="G6" s="413">
        <f>F6</f>
        <v>7.589999999999999</v>
      </c>
      <c r="H6" s="414">
        <v>4.4800000000000004</v>
      </c>
      <c r="I6" s="201">
        <f>O6</f>
        <v>15.12</v>
      </c>
      <c r="J6" s="310">
        <f>P6</f>
        <v>7.53</v>
      </c>
      <c r="K6" s="310">
        <f>Q6</f>
        <v>3.3036694203458561</v>
      </c>
      <c r="L6" s="341">
        <f>R6</f>
        <v>7.589999999999999</v>
      </c>
      <c r="M6" s="341">
        <f>S6</f>
        <v>18.423669420345856</v>
      </c>
      <c r="N6" s="371">
        <f>AA6</f>
        <v>10.602552096178634</v>
      </c>
      <c r="O6" s="417">
        <f>D6</f>
        <v>15.12</v>
      </c>
      <c r="P6" s="192">
        <f>E6</f>
        <v>7.53</v>
      </c>
      <c r="Q6" s="192">
        <f>H6*'Labor Adjustment'!$B$10</f>
        <v>3.3036694203458561</v>
      </c>
      <c r="R6" s="192">
        <f>O6-P6</f>
        <v>7.589999999999999</v>
      </c>
      <c r="S6" s="192">
        <f>O6+Q6</f>
        <v>18.423669420345856</v>
      </c>
      <c r="T6" s="193">
        <v>0.05</v>
      </c>
      <c r="U6" s="194">
        <v>12</v>
      </c>
      <c r="V6" s="194">
        <f>U6/3</f>
        <v>4</v>
      </c>
      <c r="W6" s="137">
        <f>((1+T6)^V6-1)/(T6*(1+T6)^V6)</f>
        <v>3.5459505041623602</v>
      </c>
      <c r="X6" s="137">
        <f>((1+T6)^U6-1)/(T6*(1+T6)^U6)</f>
        <v>8.8632516364488083</v>
      </c>
      <c r="Y6" s="137">
        <f>W6/X6</f>
        <v>0.40007331954563541</v>
      </c>
      <c r="Z6" s="137">
        <f>J6*Y6</f>
        <v>3.0125520961786347</v>
      </c>
      <c r="AA6" s="137">
        <f t="shared" ref="AA6:AA8" si="1">Z6+R6</f>
        <v>10.602552096178634</v>
      </c>
    </row>
    <row r="7" spans="1:27" ht="15.6" x14ac:dyDescent="0.3">
      <c r="A7" s="411" t="s">
        <v>633</v>
      </c>
      <c r="B7" s="415" t="s">
        <v>639</v>
      </c>
      <c r="C7" s="137" t="s">
        <v>635</v>
      </c>
      <c r="D7" s="137">
        <v>19.670000000000002</v>
      </c>
      <c r="E7" s="137">
        <v>7.83</v>
      </c>
      <c r="F7" s="137">
        <f>D7-E7</f>
        <v>11.840000000000002</v>
      </c>
      <c r="G7" s="413">
        <f t="shared" ref="G7:G8" si="2">F7</f>
        <v>11.840000000000002</v>
      </c>
      <c r="H7" s="414">
        <v>4.4800000000000004</v>
      </c>
      <c r="I7" s="201">
        <f t="shared" ref="I7:I8" si="3">O7</f>
        <v>19.670000000000002</v>
      </c>
      <c r="J7" s="310">
        <f t="shared" ref="J7:J8" si="4">P7</f>
        <v>7.83</v>
      </c>
      <c r="K7" s="310">
        <f t="shared" ref="K7:K8" si="5">Q7</f>
        <v>3.3036694203458561</v>
      </c>
      <c r="L7" s="341">
        <f t="shared" ref="L7:L8" si="6">R7</f>
        <v>11.840000000000002</v>
      </c>
      <c r="M7" s="341">
        <f t="shared" ref="M7:M8" si="7">S7</f>
        <v>22.973669420345857</v>
      </c>
      <c r="N7" s="371">
        <f t="shared" ref="N7:N8" si="8">AA7</f>
        <v>14.972574092042327</v>
      </c>
      <c r="O7" s="417">
        <f t="shared" ref="O7:O8" si="9">D7</f>
        <v>19.670000000000002</v>
      </c>
      <c r="P7" s="192">
        <f t="shared" ref="P7:P8" si="10">E7</f>
        <v>7.83</v>
      </c>
      <c r="Q7" s="192">
        <f>H7*'Labor Adjustment'!$B$10</f>
        <v>3.3036694203458561</v>
      </c>
      <c r="R7" s="192">
        <f t="shared" ref="R7:R8" si="11">O7-P7</f>
        <v>11.840000000000002</v>
      </c>
      <c r="S7" s="192">
        <f t="shared" ref="S7:S8" si="12">O7+Q7</f>
        <v>22.973669420345857</v>
      </c>
      <c r="T7" s="193">
        <v>0.05</v>
      </c>
      <c r="U7" s="194">
        <v>12</v>
      </c>
      <c r="V7" s="194">
        <f t="shared" ref="V7:V8" si="13">U7/3</f>
        <v>4</v>
      </c>
      <c r="W7" s="137">
        <f t="shared" ref="W7:W8" si="14">((1+T7)^V7-1)/(T7*(1+T7)^V7)</f>
        <v>3.5459505041623602</v>
      </c>
      <c r="X7" s="137">
        <f t="shared" ref="X7:X8" si="15">((1+T7)^U7-1)/(T7*(1+T7)^U7)</f>
        <v>8.8632516364488083</v>
      </c>
      <c r="Y7" s="137">
        <f t="shared" ref="Y7:Y8" si="16">W7/X7</f>
        <v>0.40007331954563541</v>
      </c>
      <c r="Z7" s="137">
        <f t="shared" ref="Z7:Z8" si="17">J7*Y7</f>
        <v>3.1325740920423253</v>
      </c>
      <c r="AA7" s="137">
        <f t="shared" si="1"/>
        <v>14.972574092042327</v>
      </c>
    </row>
    <row r="8" spans="1:27" ht="15.6" x14ac:dyDescent="0.3">
      <c r="A8" s="411" t="s">
        <v>634</v>
      </c>
      <c r="B8" s="415" t="s">
        <v>640</v>
      </c>
      <c r="C8" s="137" t="s">
        <v>635</v>
      </c>
      <c r="D8" s="137">
        <v>22.4</v>
      </c>
      <c r="E8" s="137">
        <v>7.94</v>
      </c>
      <c r="F8" s="137">
        <f>D8-E8</f>
        <v>14.459999999999997</v>
      </c>
      <c r="G8" s="413">
        <f t="shared" si="2"/>
        <v>14.459999999999997</v>
      </c>
      <c r="H8" s="414">
        <v>4.4800000000000004</v>
      </c>
      <c r="I8" s="201">
        <f t="shared" si="3"/>
        <v>22.4</v>
      </c>
      <c r="J8" s="310">
        <f t="shared" si="4"/>
        <v>7.94</v>
      </c>
      <c r="K8" s="310">
        <f t="shared" si="5"/>
        <v>3.3036694203458561</v>
      </c>
      <c r="L8" s="341">
        <f t="shared" si="6"/>
        <v>14.459999999999997</v>
      </c>
      <c r="M8" s="341">
        <f t="shared" si="7"/>
        <v>25.703669420345854</v>
      </c>
      <c r="N8" s="371">
        <f t="shared" si="8"/>
        <v>17.636582157192343</v>
      </c>
      <c r="O8" s="417">
        <f t="shared" si="9"/>
        <v>22.4</v>
      </c>
      <c r="P8" s="192">
        <f t="shared" si="10"/>
        <v>7.94</v>
      </c>
      <c r="Q8" s="192">
        <f>H8*'Labor Adjustment'!$B$10</f>
        <v>3.3036694203458561</v>
      </c>
      <c r="R8" s="192">
        <f t="shared" si="11"/>
        <v>14.459999999999997</v>
      </c>
      <c r="S8" s="192">
        <f t="shared" si="12"/>
        <v>25.703669420345854</v>
      </c>
      <c r="T8" s="193">
        <v>0.05</v>
      </c>
      <c r="U8" s="194">
        <v>12</v>
      </c>
      <c r="V8" s="194">
        <f t="shared" si="13"/>
        <v>4</v>
      </c>
      <c r="W8" s="137">
        <f t="shared" si="14"/>
        <v>3.5459505041623602</v>
      </c>
      <c r="X8" s="137">
        <f t="shared" si="15"/>
        <v>8.8632516364488083</v>
      </c>
      <c r="Y8" s="137">
        <f t="shared" si="16"/>
        <v>0.40007331954563541</v>
      </c>
      <c r="Z8" s="137">
        <f t="shared" si="17"/>
        <v>3.1765821571923452</v>
      </c>
      <c r="AA8" s="137">
        <f t="shared" si="1"/>
        <v>17.636582157192343</v>
      </c>
    </row>
    <row r="9" spans="1:27" s="69" customFormat="1" ht="15.6" x14ac:dyDescent="0.3">
      <c r="A9" s="534"/>
      <c r="B9" s="535"/>
      <c r="C9" s="753" t="s">
        <v>450</v>
      </c>
      <c r="D9" s="753"/>
      <c r="E9" s="753"/>
      <c r="F9" s="753"/>
      <c r="G9" s="753"/>
      <c r="H9" s="754"/>
      <c r="I9" s="563">
        <f t="shared" ref="I9:N9" si="18">AVERAGE(I6:I8)</f>
        <v>19.063333333333333</v>
      </c>
      <c r="J9" s="564">
        <f t="shared" si="18"/>
        <v>7.7666666666666666</v>
      </c>
      <c r="K9" s="565">
        <f t="shared" si="18"/>
        <v>3.3036694203458565</v>
      </c>
      <c r="L9" s="564">
        <f t="shared" si="18"/>
        <v>11.296666666666667</v>
      </c>
      <c r="M9" s="564">
        <f t="shared" si="18"/>
        <v>22.367002753679191</v>
      </c>
      <c r="N9" s="566">
        <f t="shared" si="18"/>
        <v>14.403902781804435</v>
      </c>
      <c r="O9" s="536"/>
      <c r="P9" s="536"/>
      <c r="Q9" s="536"/>
      <c r="R9" s="536"/>
      <c r="S9" s="536"/>
      <c r="T9" s="197"/>
      <c r="U9" s="198"/>
      <c r="V9" s="198"/>
      <c r="W9" s="196"/>
      <c r="X9" s="196"/>
      <c r="Y9" s="196"/>
      <c r="Z9" s="196"/>
      <c r="AA9" s="196"/>
    </row>
    <row r="10" spans="1:27" x14ac:dyDescent="0.3">
      <c r="A10" s="750" t="s">
        <v>769</v>
      </c>
      <c r="B10" s="751"/>
      <c r="C10" s="751"/>
      <c r="D10" s="751"/>
      <c r="E10" s="751"/>
      <c r="F10" s="751"/>
      <c r="G10" s="751"/>
      <c r="H10" s="752"/>
      <c r="I10" s="419"/>
      <c r="J10" s="420"/>
      <c r="K10" s="420"/>
      <c r="L10" s="420"/>
      <c r="M10" s="420"/>
      <c r="N10" s="421"/>
      <c r="O10" s="42"/>
      <c r="P10" s="42"/>
      <c r="Q10" s="42"/>
      <c r="R10" s="42"/>
      <c r="S10" s="42"/>
      <c r="T10" s="42"/>
      <c r="U10" s="42"/>
      <c r="V10" s="42"/>
      <c r="W10" s="42"/>
      <c r="X10" s="42"/>
      <c r="Y10" s="42"/>
      <c r="Z10" s="42"/>
      <c r="AA10" s="42"/>
    </row>
    <row r="11" spans="1:27" ht="15" thickBot="1" x14ac:dyDescent="0.35">
      <c r="A11" s="741" t="s">
        <v>943</v>
      </c>
      <c r="B11" s="742"/>
      <c r="C11" s="742"/>
      <c r="D11" s="742"/>
      <c r="E11" s="742"/>
      <c r="F11" s="742"/>
      <c r="G11" s="742"/>
      <c r="H11" s="743"/>
      <c r="I11" s="401"/>
      <c r="J11" s="402"/>
      <c r="K11" s="402"/>
      <c r="L11" s="402"/>
      <c r="M11" s="402"/>
      <c r="N11" s="403"/>
      <c r="O11" s="42"/>
      <c r="P11" s="42"/>
      <c r="Q11" s="42"/>
      <c r="R11" s="42"/>
      <c r="S11" s="42"/>
      <c r="T11" s="42"/>
      <c r="U11" s="42"/>
      <c r="V11" s="42"/>
      <c r="W11" s="42"/>
      <c r="X11" s="42"/>
      <c r="Y11" s="42"/>
      <c r="Z11" s="42"/>
      <c r="AA11" s="42"/>
    </row>
    <row r="12" spans="1:27" s="69" customFormat="1" x14ac:dyDescent="0.3">
      <c r="I12" s="43"/>
      <c r="J12" s="43"/>
      <c r="K12" s="43"/>
      <c r="L12" s="43"/>
      <c r="M12" s="43"/>
      <c r="N12" s="43"/>
      <c r="O12" s="43"/>
      <c r="P12" s="43"/>
      <c r="Q12" s="43"/>
      <c r="R12" s="43"/>
      <c r="S12" s="43"/>
      <c r="T12" s="43"/>
      <c r="U12" s="43"/>
    </row>
    <row r="13" spans="1:27" s="69" customFormat="1" ht="15" thickBot="1" x14ac:dyDescent="0.35">
      <c r="I13" s="43"/>
      <c r="J13" s="43"/>
      <c r="K13" s="43"/>
      <c r="L13" s="43"/>
      <c r="M13" s="43"/>
      <c r="N13" s="43"/>
      <c r="O13" s="43"/>
      <c r="P13" s="43"/>
      <c r="Q13" s="43"/>
      <c r="R13" s="43"/>
      <c r="S13" s="43"/>
      <c r="T13" s="43"/>
      <c r="U13" s="43"/>
    </row>
    <row r="14" spans="1:27" s="42" customFormat="1" ht="21" x14ac:dyDescent="0.4">
      <c r="A14" s="744" t="s">
        <v>232</v>
      </c>
      <c r="B14" s="745"/>
      <c r="C14" s="745"/>
      <c r="D14" s="745"/>
      <c r="E14" s="745"/>
      <c r="F14" s="745"/>
      <c r="G14" s="745"/>
      <c r="H14" s="746"/>
      <c r="I14" s="740" t="s">
        <v>983</v>
      </c>
      <c r="J14" s="703"/>
      <c r="K14" s="703"/>
      <c r="L14" s="703"/>
      <c r="M14" s="703"/>
      <c r="N14" s="704"/>
      <c r="O14" s="728" t="s">
        <v>941</v>
      </c>
      <c r="P14" s="672"/>
      <c r="Q14" s="672"/>
      <c r="R14" s="672"/>
      <c r="S14" s="673"/>
      <c r="T14" s="705" t="s">
        <v>915</v>
      </c>
      <c r="U14" s="705"/>
      <c r="V14" s="705"/>
      <c r="W14" s="705"/>
      <c r="X14" s="705"/>
      <c r="Y14" s="705"/>
      <c r="Z14" s="705"/>
      <c r="AA14" s="705"/>
    </row>
    <row r="15" spans="1:27" s="42" customFormat="1" ht="78" x14ac:dyDescent="0.3">
      <c r="A15" s="410" t="s">
        <v>169</v>
      </c>
      <c r="B15" s="313" t="s">
        <v>170</v>
      </c>
      <c r="C15" s="313" t="s">
        <v>29</v>
      </c>
      <c r="D15" s="313" t="s">
        <v>233</v>
      </c>
      <c r="E15" s="313" t="s">
        <v>234</v>
      </c>
      <c r="F15" s="313" t="s">
        <v>173</v>
      </c>
      <c r="G15" s="313" t="s">
        <v>552</v>
      </c>
      <c r="H15" s="347" t="s">
        <v>901</v>
      </c>
      <c r="I15" s="199" t="s">
        <v>919</v>
      </c>
      <c r="J15" s="191" t="s">
        <v>902</v>
      </c>
      <c r="K15" s="191" t="s">
        <v>1032</v>
      </c>
      <c r="L15" s="191" t="s">
        <v>904</v>
      </c>
      <c r="M15" s="191" t="s">
        <v>905</v>
      </c>
      <c r="N15" s="200" t="s">
        <v>906</v>
      </c>
      <c r="O15" s="416" t="s">
        <v>172</v>
      </c>
      <c r="P15" s="169" t="s">
        <v>902</v>
      </c>
      <c r="Q15" s="170" t="s">
        <v>1031</v>
      </c>
      <c r="R15" s="170" t="s">
        <v>904</v>
      </c>
      <c r="S15" s="171" t="s">
        <v>905</v>
      </c>
      <c r="T15" s="171" t="s">
        <v>907</v>
      </c>
      <c r="U15" s="171" t="s">
        <v>910</v>
      </c>
      <c r="V15" s="171" t="s">
        <v>911</v>
      </c>
      <c r="W15" s="309" t="s">
        <v>908</v>
      </c>
      <c r="X15" s="309" t="s">
        <v>909</v>
      </c>
      <c r="Y15" s="309" t="s">
        <v>929</v>
      </c>
      <c r="Z15" s="309" t="s">
        <v>912</v>
      </c>
      <c r="AA15" s="169" t="s">
        <v>906</v>
      </c>
    </row>
    <row r="16" spans="1:27" s="42" customFormat="1" ht="15.6" x14ac:dyDescent="0.3">
      <c r="A16" s="411" t="s">
        <v>235</v>
      </c>
      <c r="B16" s="415" t="s">
        <v>236</v>
      </c>
      <c r="C16" s="137" t="s">
        <v>237</v>
      </c>
      <c r="D16" s="137">
        <v>23</v>
      </c>
      <c r="E16" s="137">
        <v>7</v>
      </c>
      <c r="F16" s="137">
        <f>D16-E16</f>
        <v>16</v>
      </c>
      <c r="G16" s="413">
        <f>F16*Inflation!$D$5</f>
        <v>16.613775999999998</v>
      </c>
      <c r="H16" s="414">
        <v>9.4</v>
      </c>
      <c r="I16" s="201">
        <f>O16*Inflation!$D$5</f>
        <v>23.882302999999997</v>
      </c>
      <c r="J16" s="310">
        <f>P16*Inflation!$D$5</f>
        <v>7.2685269999999988</v>
      </c>
      <c r="K16" s="310">
        <f>Q16*Inflation!$D$5</f>
        <v>7.1977173973235669</v>
      </c>
      <c r="L16" s="310">
        <f>R16*Inflation!$D$5</f>
        <v>16.613775999999998</v>
      </c>
      <c r="M16" s="310">
        <f>S16*Inflation!$D$5</f>
        <v>31.080020397323565</v>
      </c>
      <c r="N16" s="418">
        <f>AA16*Inflation!$D$4</f>
        <v>19.267194655873919</v>
      </c>
      <c r="O16" s="417">
        <f>D16</f>
        <v>23</v>
      </c>
      <c r="P16" s="192">
        <f>E16</f>
        <v>7</v>
      </c>
      <c r="Q16" s="192">
        <f>H16*'Labor Adjustment'!$B$10</f>
        <v>6.9318063730471078</v>
      </c>
      <c r="R16" s="192">
        <f>O16-P16</f>
        <v>16</v>
      </c>
      <c r="S16" s="192">
        <f>O16+Q16</f>
        <v>29.93180637304711</v>
      </c>
      <c r="T16" s="193">
        <v>0.05</v>
      </c>
      <c r="U16" s="194">
        <v>12</v>
      </c>
      <c r="V16" s="194">
        <f>U16/3</f>
        <v>4</v>
      </c>
      <c r="W16" s="137">
        <f>((1+T16)^V16-1)/(T16*(1+T16)^V16)</f>
        <v>3.5459505041623602</v>
      </c>
      <c r="X16" s="137">
        <f>((1+T16)^U16-1)/(T16*(1+T16)^U16)</f>
        <v>8.8632516364488083</v>
      </c>
      <c r="Y16" s="137">
        <f>W16/X16</f>
        <v>0.40007331954563541</v>
      </c>
      <c r="Z16" s="137">
        <f>J16*Y16</f>
        <v>2.9079437250970783</v>
      </c>
      <c r="AA16" s="137">
        <f>Z16+R16</f>
        <v>18.907943725097077</v>
      </c>
    </row>
    <row r="17" spans="1:27" s="42" customFormat="1" ht="15.6" x14ac:dyDescent="0.3">
      <c r="A17" s="411" t="s">
        <v>238</v>
      </c>
      <c r="B17" s="415" t="s">
        <v>239</v>
      </c>
      <c r="C17" s="137" t="s">
        <v>237</v>
      </c>
      <c r="D17" s="137">
        <v>23</v>
      </c>
      <c r="E17" s="137">
        <v>7</v>
      </c>
      <c r="F17" s="137">
        <f>D17-E17</f>
        <v>16</v>
      </c>
      <c r="G17" s="413">
        <f>F17*Inflation!$D$5</f>
        <v>16.613775999999998</v>
      </c>
      <c r="H17" s="414">
        <v>9.4</v>
      </c>
      <c r="I17" s="201">
        <f>O17*Inflation!$D$5</f>
        <v>23.882302999999997</v>
      </c>
      <c r="J17" s="310">
        <f>P17*Inflation!$D$5</f>
        <v>7.2685269999999988</v>
      </c>
      <c r="K17" s="310">
        <f>Q17*Inflation!$D$5</f>
        <v>7.1977173973235669</v>
      </c>
      <c r="L17" s="310">
        <f>R17*Inflation!$D$5</f>
        <v>16.613775999999998</v>
      </c>
      <c r="M17" s="310">
        <f>S17*Inflation!$D$5</f>
        <v>31.080020397323565</v>
      </c>
      <c r="N17" s="418">
        <f>AA17*Inflation!$D$4</f>
        <v>19.267194655873919</v>
      </c>
      <c r="O17" s="417">
        <f t="shared" ref="O17:O19" si="19">D17</f>
        <v>23</v>
      </c>
      <c r="P17" s="192">
        <f t="shared" ref="P17:P19" si="20">E17</f>
        <v>7</v>
      </c>
      <c r="Q17" s="192">
        <f>H17*'Labor Adjustment'!$B$10</f>
        <v>6.9318063730471078</v>
      </c>
      <c r="R17" s="192">
        <f t="shared" ref="R17:R19" si="21">O17-P17</f>
        <v>16</v>
      </c>
      <c r="S17" s="192">
        <f t="shared" ref="S17:S19" si="22">O17+Q17</f>
        <v>29.93180637304711</v>
      </c>
      <c r="T17" s="193">
        <v>0.05</v>
      </c>
      <c r="U17" s="194">
        <v>12</v>
      </c>
      <c r="V17" s="194">
        <f t="shared" ref="V17:V19" si="23">U17/3</f>
        <v>4</v>
      </c>
      <c r="W17" s="137">
        <f t="shared" ref="W17:W19" si="24">((1+T17)^V17-1)/(T17*(1+T17)^V17)</f>
        <v>3.5459505041623602</v>
      </c>
      <c r="X17" s="137">
        <f t="shared" ref="X17:X19" si="25">((1+T17)^U17-1)/(T17*(1+T17)^U17)</f>
        <v>8.8632516364488083</v>
      </c>
      <c r="Y17" s="137">
        <f t="shared" ref="Y17:Y19" si="26">W17/X17</f>
        <v>0.40007331954563541</v>
      </c>
      <c r="Z17" s="137">
        <f t="shared" ref="Z17:Z19" si="27">J17*Y17</f>
        <v>2.9079437250970783</v>
      </c>
      <c r="AA17" s="137">
        <f t="shared" ref="AA17:AA19" si="28">Z17+R17</f>
        <v>18.907943725097077</v>
      </c>
    </row>
    <row r="18" spans="1:27" s="42" customFormat="1" ht="15.6" x14ac:dyDescent="0.3">
      <c r="A18" s="411" t="s">
        <v>240</v>
      </c>
      <c r="B18" s="415" t="s">
        <v>241</v>
      </c>
      <c r="C18" s="137" t="s">
        <v>237</v>
      </c>
      <c r="D18" s="137">
        <v>23</v>
      </c>
      <c r="E18" s="137">
        <v>7</v>
      </c>
      <c r="F18" s="137">
        <f>D18-E18</f>
        <v>16</v>
      </c>
      <c r="G18" s="413">
        <f>F18*Inflation!$D$5</f>
        <v>16.613775999999998</v>
      </c>
      <c r="H18" s="414">
        <v>9.4</v>
      </c>
      <c r="I18" s="201">
        <f>O18*Inflation!$D$5</f>
        <v>23.882302999999997</v>
      </c>
      <c r="J18" s="310">
        <f>P18*Inflation!$D$5</f>
        <v>7.2685269999999988</v>
      </c>
      <c r="K18" s="310">
        <f>Q18*Inflation!$D$5</f>
        <v>7.1977173973235669</v>
      </c>
      <c r="L18" s="310">
        <f>R18*Inflation!$D$5</f>
        <v>16.613775999999998</v>
      </c>
      <c r="M18" s="310">
        <f>S18*Inflation!$D$5</f>
        <v>31.080020397323565</v>
      </c>
      <c r="N18" s="418">
        <f>AA18*Inflation!$D$4</f>
        <v>19.267194655873919</v>
      </c>
      <c r="O18" s="417">
        <f t="shared" si="19"/>
        <v>23</v>
      </c>
      <c r="P18" s="192">
        <f t="shared" si="20"/>
        <v>7</v>
      </c>
      <c r="Q18" s="192">
        <f>H18*'Labor Adjustment'!$B$10</f>
        <v>6.9318063730471078</v>
      </c>
      <c r="R18" s="192">
        <f t="shared" si="21"/>
        <v>16</v>
      </c>
      <c r="S18" s="192">
        <f t="shared" si="22"/>
        <v>29.93180637304711</v>
      </c>
      <c r="T18" s="193">
        <v>0.05</v>
      </c>
      <c r="U18" s="194">
        <v>12</v>
      </c>
      <c r="V18" s="194">
        <f t="shared" si="23"/>
        <v>4</v>
      </c>
      <c r="W18" s="137">
        <f t="shared" si="24"/>
        <v>3.5459505041623602</v>
      </c>
      <c r="X18" s="137">
        <f t="shared" si="25"/>
        <v>8.8632516364488083</v>
      </c>
      <c r="Y18" s="137">
        <f t="shared" si="26"/>
        <v>0.40007331954563541</v>
      </c>
      <c r="Z18" s="137">
        <f t="shared" si="27"/>
        <v>2.9079437250970783</v>
      </c>
      <c r="AA18" s="137">
        <f t="shared" si="28"/>
        <v>18.907943725097077</v>
      </c>
    </row>
    <row r="19" spans="1:27" s="42" customFormat="1" ht="15.6" x14ac:dyDescent="0.3">
      <c r="A19" s="411" t="s">
        <v>242</v>
      </c>
      <c r="B19" s="415" t="s">
        <v>243</v>
      </c>
      <c r="C19" s="137" t="s">
        <v>237</v>
      </c>
      <c r="D19" s="137">
        <v>23</v>
      </c>
      <c r="E19" s="137">
        <v>7</v>
      </c>
      <c r="F19" s="137">
        <f>D19-E19</f>
        <v>16</v>
      </c>
      <c r="G19" s="413">
        <f>F19*Inflation!$D$5</f>
        <v>16.613775999999998</v>
      </c>
      <c r="H19" s="414">
        <v>9.4</v>
      </c>
      <c r="I19" s="201">
        <f>O19*Inflation!$D$5</f>
        <v>23.882302999999997</v>
      </c>
      <c r="J19" s="310">
        <f>P19*Inflation!$D$5</f>
        <v>7.2685269999999988</v>
      </c>
      <c r="K19" s="310">
        <f>Q19*Inflation!$D$5</f>
        <v>7.1977173973235669</v>
      </c>
      <c r="L19" s="310">
        <f>R19*Inflation!$D$5</f>
        <v>16.613775999999998</v>
      </c>
      <c r="M19" s="310">
        <f>S19*Inflation!$D$5</f>
        <v>31.080020397323565</v>
      </c>
      <c r="N19" s="418">
        <f>AA19*Inflation!$D$4</f>
        <v>19.267194655873919</v>
      </c>
      <c r="O19" s="417">
        <f t="shared" si="19"/>
        <v>23</v>
      </c>
      <c r="P19" s="192">
        <f t="shared" si="20"/>
        <v>7</v>
      </c>
      <c r="Q19" s="192">
        <f>H19*'Labor Adjustment'!$B$10</f>
        <v>6.9318063730471078</v>
      </c>
      <c r="R19" s="192">
        <f t="shared" si="21"/>
        <v>16</v>
      </c>
      <c r="S19" s="192">
        <f t="shared" si="22"/>
        <v>29.93180637304711</v>
      </c>
      <c r="T19" s="193">
        <v>0.05</v>
      </c>
      <c r="U19" s="194">
        <v>12</v>
      </c>
      <c r="V19" s="194">
        <f t="shared" si="23"/>
        <v>4</v>
      </c>
      <c r="W19" s="137">
        <f t="shared" si="24"/>
        <v>3.5459505041623602</v>
      </c>
      <c r="X19" s="137">
        <f t="shared" si="25"/>
        <v>8.8632516364488083</v>
      </c>
      <c r="Y19" s="137">
        <f t="shared" si="26"/>
        <v>0.40007331954563541</v>
      </c>
      <c r="Z19" s="137">
        <f t="shared" si="27"/>
        <v>2.9079437250970783</v>
      </c>
      <c r="AA19" s="137">
        <f t="shared" si="28"/>
        <v>18.907943725097077</v>
      </c>
    </row>
    <row r="20" spans="1:27" s="42" customFormat="1" x14ac:dyDescent="0.3">
      <c r="A20" s="747" t="s">
        <v>244</v>
      </c>
      <c r="B20" s="748"/>
      <c r="C20" s="748"/>
      <c r="D20" s="748"/>
      <c r="E20" s="748"/>
      <c r="F20" s="748"/>
      <c r="G20" s="748"/>
      <c r="H20" s="749"/>
      <c r="I20" s="419"/>
      <c r="J20" s="420"/>
      <c r="K20" s="420"/>
      <c r="L20" s="420"/>
      <c r="M20" s="420"/>
      <c r="N20" s="421"/>
    </row>
    <row r="21" spans="1:27" s="42" customFormat="1" ht="15" thickBot="1" x14ac:dyDescent="0.35">
      <c r="A21" s="741" t="s">
        <v>943</v>
      </c>
      <c r="B21" s="742"/>
      <c r="C21" s="742"/>
      <c r="D21" s="742"/>
      <c r="E21" s="742"/>
      <c r="F21" s="742"/>
      <c r="G21" s="742"/>
      <c r="H21" s="743"/>
      <c r="I21" s="401"/>
      <c r="J21" s="402"/>
      <c r="K21" s="402"/>
      <c r="L21" s="402"/>
      <c r="M21" s="402"/>
      <c r="N21" s="403"/>
    </row>
    <row r="22" spans="1:27" s="42" customFormat="1" x14ac:dyDescent="0.3">
      <c r="A22" s="43"/>
      <c r="B22" s="43"/>
      <c r="C22" s="43"/>
      <c r="D22" s="43"/>
      <c r="E22" s="43"/>
      <c r="F22" s="43"/>
    </row>
    <row r="23" spans="1:27" x14ac:dyDescent="0.3">
      <c r="A23" s="3" t="s">
        <v>28</v>
      </c>
      <c r="H23" s="42"/>
      <c r="I23" s="42"/>
      <c r="J23" s="42"/>
      <c r="K23" s="42"/>
      <c r="L23" s="42"/>
      <c r="M23" s="42"/>
      <c r="N23" s="42"/>
      <c r="O23" s="42"/>
      <c r="P23" s="42"/>
      <c r="Q23" s="42"/>
      <c r="R23" s="42"/>
      <c r="S23" s="42"/>
      <c r="T23" s="42"/>
      <c r="U23" s="42"/>
      <c r="V23" s="42"/>
      <c r="W23" s="42"/>
      <c r="X23" s="42"/>
      <c r="Y23" s="42"/>
      <c r="Z23" s="42"/>
      <c r="AA23" s="42"/>
    </row>
    <row r="24" spans="1:27" x14ac:dyDescent="0.3">
      <c r="H24" s="42"/>
      <c r="I24" s="42"/>
      <c r="J24" s="42"/>
      <c r="K24" s="42"/>
      <c r="L24" s="42"/>
      <c r="M24" s="42"/>
      <c r="N24" s="42"/>
      <c r="O24" s="42"/>
      <c r="P24" s="42"/>
      <c r="Q24" s="42"/>
      <c r="R24" s="42"/>
      <c r="S24" s="42"/>
      <c r="T24" s="42"/>
      <c r="U24" s="42"/>
      <c r="V24" s="42"/>
      <c r="W24" s="42"/>
      <c r="X24" s="42"/>
      <c r="Y24" s="42"/>
      <c r="Z24" s="42"/>
      <c r="AA24" s="42"/>
    </row>
    <row r="25" spans="1:27" ht="15" x14ac:dyDescent="0.25">
      <c r="H25" s="42"/>
      <c r="I25" s="42"/>
      <c r="J25" s="42"/>
      <c r="K25" s="42"/>
      <c r="L25" s="42"/>
      <c r="M25" s="42"/>
      <c r="N25" s="42"/>
      <c r="O25" s="42"/>
      <c r="P25" s="42"/>
      <c r="Q25" s="42"/>
      <c r="R25" s="42"/>
      <c r="S25" s="42"/>
      <c r="T25" s="42"/>
      <c r="U25" s="42"/>
      <c r="V25" s="42"/>
      <c r="W25" s="42"/>
      <c r="X25" s="42"/>
      <c r="Y25" s="42"/>
      <c r="Z25" s="42"/>
      <c r="AA25" s="42"/>
    </row>
    <row r="26" spans="1:27" ht="15" x14ac:dyDescent="0.25">
      <c r="H26" s="42"/>
      <c r="I26" s="42"/>
      <c r="J26" s="42"/>
      <c r="K26" s="42"/>
      <c r="L26" s="42"/>
      <c r="M26" s="42"/>
      <c r="N26" s="42"/>
      <c r="O26" s="42"/>
      <c r="P26" s="42"/>
      <c r="Q26" s="42"/>
      <c r="R26" s="42"/>
      <c r="S26" s="42"/>
      <c r="T26" s="42"/>
      <c r="U26" s="42"/>
      <c r="V26" s="42"/>
      <c r="W26" s="42"/>
      <c r="X26" s="42"/>
      <c r="Y26" s="42"/>
      <c r="Z26" s="42"/>
      <c r="AA26" s="42"/>
    </row>
    <row r="27" spans="1:27" ht="15" x14ac:dyDescent="0.25">
      <c r="H27" s="42"/>
      <c r="I27" s="42"/>
      <c r="J27" s="42"/>
      <c r="K27" s="42"/>
      <c r="L27" s="42"/>
      <c r="M27" s="42"/>
      <c r="N27" s="42"/>
      <c r="O27" s="42"/>
      <c r="P27" s="42"/>
      <c r="Q27" s="42"/>
      <c r="R27" s="42"/>
      <c r="S27" s="42"/>
      <c r="T27" s="42"/>
      <c r="U27" s="42"/>
      <c r="V27" s="42"/>
      <c r="W27" s="42"/>
      <c r="X27" s="42"/>
      <c r="Y27" s="42"/>
      <c r="Z27" s="42"/>
      <c r="AA27" s="42"/>
    </row>
    <row r="28" spans="1:27" ht="15" x14ac:dyDescent="0.25">
      <c r="H28" s="42"/>
      <c r="I28" s="42"/>
      <c r="J28" s="42"/>
      <c r="K28" s="42"/>
      <c r="L28" s="42"/>
      <c r="M28" s="42"/>
      <c r="N28" s="42"/>
      <c r="O28" s="42"/>
      <c r="P28" s="42"/>
      <c r="Q28" s="42"/>
      <c r="R28" s="42"/>
      <c r="S28" s="42"/>
      <c r="T28" s="42"/>
      <c r="U28" s="42"/>
      <c r="V28" s="42"/>
      <c r="W28" s="42"/>
      <c r="X28" s="42"/>
      <c r="Y28" s="42"/>
      <c r="Z28" s="42"/>
      <c r="AA28" s="42"/>
    </row>
    <row r="29" spans="1:27" ht="15" x14ac:dyDescent="0.25">
      <c r="H29" s="42"/>
      <c r="I29" s="42"/>
      <c r="J29" s="42"/>
      <c r="K29" s="42"/>
      <c r="L29" s="42"/>
      <c r="M29" s="42"/>
      <c r="N29" s="42"/>
      <c r="O29" s="42"/>
      <c r="P29" s="42"/>
      <c r="Q29" s="42"/>
      <c r="R29" s="42"/>
      <c r="S29" s="42"/>
      <c r="T29" s="42"/>
      <c r="U29" s="42"/>
      <c r="V29" s="42"/>
      <c r="W29" s="42"/>
      <c r="X29" s="42"/>
      <c r="Y29" s="42"/>
      <c r="Z29" s="42"/>
      <c r="AA29" s="42"/>
    </row>
    <row r="30" spans="1:27" ht="15" x14ac:dyDescent="0.25">
      <c r="H30" s="42"/>
      <c r="I30" s="42"/>
      <c r="J30" s="42"/>
      <c r="K30" s="42"/>
      <c r="L30" s="42"/>
      <c r="M30" s="42"/>
      <c r="N30" s="42"/>
      <c r="O30" s="42"/>
      <c r="P30" s="42"/>
      <c r="Q30" s="42"/>
      <c r="R30" s="42"/>
      <c r="S30" s="42"/>
      <c r="T30" s="42"/>
      <c r="U30" s="42"/>
      <c r="V30" s="42"/>
      <c r="W30" s="42"/>
      <c r="X30" s="42"/>
      <c r="Y30" s="42"/>
      <c r="Z30" s="42"/>
      <c r="AA30" s="42"/>
    </row>
    <row r="31" spans="1:27" ht="15" x14ac:dyDescent="0.25">
      <c r="H31" s="42"/>
      <c r="I31" s="42"/>
      <c r="J31" s="42"/>
      <c r="K31" s="42"/>
      <c r="L31" s="42"/>
      <c r="M31" s="42"/>
      <c r="N31" s="42"/>
      <c r="O31" s="42"/>
      <c r="P31" s="42"/>
      <c r="Q31" s="42"/>
      <c r="R31" s="42"/>
      <c r="S31" s="42"/>
      <c r="T31" s="42"/>
      <c r="U31" s="42"/>
      <c r="V31" s="42"/>
      <c r="W31" s="42"/>
      <c r="X31" s="42"/>
      <c r="Y31" s="42"/>
      <c r="Z31" s="42"/>
      <c r="AA31" s="42"/>
    </row>
    <row r="32" spans="1:27" ht="15" x14ac:dyDescent="0.25">
      <c r="H32" s="42"/>
      <c r="I32" s="42"/>
      <c r="J32" s="42"/>
      <c r="K32" s="42"/>
      <c r="L32" s="42"/>
      <c r="M32" s="42"/>
      <c r="N32" s="42"/>
      <c r="O32" s="42"/>
      <c r="P32" s="42"/>
      <c r="Q32" s="42"/>
      <c r="R32" s="42"/>
      <c r="S32" s="42"/>
      <c r="T32" s="42"/>
      <c r="U32" s="42"/>
      <c r="V32" s="42"/>
      <c r="W32" s="42"/>
      <c r="X32" s="42"/>
      <c r="Y32" s="42"/>
      <c r="Z32" s="42"/>
      <c r="AA32" s="42"/>
    </row>
    <row r="33" spans="8:27" ht="15" x14ac:dyDescent="0.25">
      <c r="H33" s="42"/>
      <c r="I33" s="42"/>
      <c r="J33" s="42"/>
      <c r="K33" s="42"/>
      <c r="L33" s="42"/>
      <c r="M33" s="42"/>
      <c r="N33" s="42"/>
      <c r="O33" s="42"/>
      <c r="P33" s="42"/>
      <c r="Q33" s="42"/>
      <c r="R33" s="42"/>
      <c r="S33" s="42"/>
      <c r="T33" s="42"/>
      <c r="U33" s="42"/>
      <c r="V33" s="42"/>
      <c r="W33" s="42"/>
      <c r="X33" s="42"/>
      <c r="Y33" s="42"/>
      <c r="Z33" s="42"/>
      <c r="AA33" s="42"/>
    </row>
    <row r="34" spans="8:27" ht="15" x14ac:dyDescent="0.25">
      <c r="H34" s="42"/>
      <c r="I34" s="42"/>
      <c r="J34" s="42"/>
      <c r="K34" s="42"/>
      <c r="L34" s="42"/>
      <c r="M34" s="42"/>
      <c r="N34" s="42"/>
      <c r="O34" s="42"/>
      <c r="P34" s="42"/>
      <c r="Q34" s="42"/>
      <c r="R34" s="42"/>
      <c r="S34" s="42"/>
      <c r="T34" s="42"/>
      <c r="U34" s="42"/>
      <c r="V34" s="42"/>
      <c r="W34" s="42"/>
      <c r="X34" s="42"/>
      <c r="Y34" s="42"/>
      <c r="Z34" s="42"/>
      <c r="AA34" s="42"/>
    </row>
    <row r="35" spans="8:27" ht="15" x14ac:dyDescent="0.25">
      <c r="H35" s="42"/>
      <c r="I35" s="42"/>
      <c r="J35" s="42"/>
      <c r="K35" s="42"/>
      <c r="L35" s="42"/>
      <c r="M35" s="42"/>
      <c r="N35" s="42"/>
      <c r="O35" s="42"/>
      <c r="P35" s="42"/>
      <c r="Q35" s="42"/>
      <c r="R35" s="42"/>
      <c r="S35" s="42"/>
      <c r="T35" s="42"/>
      <c r="U35" s="42"/>
      <c r="V35" s="42"/>
      <c r="W35" s="42"/>
      <c r="X35" s="42"/>
      <c r="Y35" s="42"/>
      <c r="Z35" s="42"/>
      <c r="AA35" s="42"/>
    </row>
    <row r="36" spans="8:27" ht="15" x14ac:dyDescent="0.25">
      <c r="H36" s="42"/>
      <c r="I36" s="42"/>
      <c r="J36" s="42"/>
      <c r="K36" s="42"/>
      <c r="L36" s="42"/>
      <c r="M36" s="42"/>
      <c r="N36" s="42"/>
      <c r="O36" s="42"/>
      <c r="P36" s="42"/>
      <c r="Q36" s="42"/>
      <c r="R36" s="42"/>
      <c r="S36" s="42"/>
      <c r="T36" s="42"/>
      <c r="U36" s="42"/>
      <c r="V36" s="42"/>
      <c r="W36" s="42"/>
      <c r="X36" s="42"/>
      <c r="Y36" s="42"/>
      <c r="Z36" s="42"/>
      <c r="AA36" s="42"/>
    </row>
    <row r="37" spans="8:27" ht="15" x14ac:dyDescent="0.25">
      <c r="H37" s="42"/>
      <c r="I37" s="42"/>
      <c r="J37" s="42"/>
      <c r="K37" s="42"/>
      <c r="L37" s="42"/>
      <c r="M37" s="42"/>
      <c r="N37" s="42"/>
      <c r="O37" s="42"/>
      <c r="P37" s="42"/>
      <c r="Q37" s="42"/>
      <c r="R37" s="42"/>
      <c r="S37" s="42"/>
      <c r="T37" s="42"/>
      <c r="U37" s="42"/>
      <c r="V37" s="42"/>
      <c r="W37" s="42"/>
      <c r="X37" s="42"/>
      <c r="Y37" s="42"/>
      <c r="Z37" s="42"/>
      <c r="AA37" s="42"/>
    </row>
    <row r="38" spans="8:27" ht="15" x14ac:dyDescent="0.25">
      <c r="H38" s="42"/>
      <c r="I38" s="42"/>
      <c r="J38" s="42"/>
      <c r="K38" s="42"/>
      <c r="L38" s="42"/>
      <c r="M38" s="42"/>
      <c r="N38" s="42"/>
      <c r="O38" s="42"/>
      <c r="P38" s="42"/>
      <c r="Q38" s="42"/>
      <c r="R38" s="42"/>
      <c r="S38" s="42"/>
      <c r="T38" s="42"/>
      <c r="U38" s="42"/>
      <c r="V38" s="42"/>
      <c r="W38" s="42"/>
      <c r="X38" s="42"/>
      <c r="Y38" s="42"/>
      <c r="Z38" s="42"/>
      <c r="AA38" s="42"/>
    </row>
    <row r="39" spans="8:27" ht="15" x14ac:dyDescent="0.25">
      <c r="H39" s="42"/>
      <c r="I39" s="42"/>
      <c r="J39" s="42"/>
      <c r="K39" s="42"/>
      <c r="L39" s="42"/>
      <c r="M39" s="42"/>
      <c r="N39" s="42"/>
      <c r="O39" s="42"/>
      <c r="P39" s="42"/>
      <c r="Q39" s="42"/>
      <c r="R39" s="42"/>
      <c r="S39" s="42"/>
      <c r="T39" s="42"/>
      <c r="U39" s="42"/>
      <c r="V39" s="42"/>
      <c r="W39" s="42"/>
      <c r="X39" s="42"/>
      <c r="Y39" s="42"/>
      <c r="Z39" s="42"/>
      <c r="AA39" s="42"/>
    </row>
    <row r="40" spans="8:27" ht="15" x14ac:dyDescent="0.25">
      <c r="H40" s="42"/>
      <c r="I40" s="42"/>
      <c r="J40" s="42"/>
      <c r="K40" s="42"/>
      <c r="L40" s="42"/>
      <c r="M40" s="42"/>
      <c r="N40" s="42"/>
      <c r="O40" s="42"/>
      <c r="P40" s="42"/>
      <c r="Q40" s="42"/>
      <c r="R40" s="42"/>
      <c r="S40" s="42"/>
      <c r="T40" s="42"/>
      <c r="U40" s="42"/>
      <c r="V40" s="42"/>
      <c r="W40" s="42"/>
      <c r="X40" s="42"/>
      <c r="Y40" s="42"/>
      <c r="Z40" s="42"/>
      <c r="AA40" s="42"/>
    </row>
  </sheetData>
  <mergeCells count="19">
    <mergeCell ref="A1:B1"/>
    <mergeCell ref="C1:D1"/>
    <mergeCell ref="E1:H1"/>
    <mergeCell ref="A2:B2"/>
    <mergeCell ref="C2:D2"/>
    <mergeCell ref="E2:H2"/>
    <mergeCell ref="I14:N14"/>
    <mergeCell ref="A21:H21"/>
    <mergeCell ref="O14:S14"/>
    <mergeCell ref="T14:AA14"/>
    <mergeCell ref="I4:N4"/>
    <mergeCell ref="O4:S4"/>
    <mergeCell ref="T4:AA4"/>
    <mergeCell ref="A11:H11"/>
    <mergeCell ref="A14:H14"/>
    <mergeCell ref="A20:H20"/>
    <mergeCell ref="A10:H10"/>
    <mergeCell ref="A4:H4"/>
    <mergeCell ref="C9:H9"/>
  </mergeCells>
  <hyperlinks>
    <hyperlink ref="A23" location="TRM_MCS_measures!A1" display="Return To TRM_MCS_Measures"/>
  </hyperlink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B67"/>
  <sheetViews>
    <sheetView topLeftCell="B17" zoomScale="70" zoomScaleNormal="70" workbookViewId="0">
      <selection activeCell="M14" sqref="M14"/>
    </sheetView>
  </sheetViews>
  <sheetFormatPr defaultRowHeight="14.4" x14ac:dyDescent="0.3"/>
  <cols>
    <col min="1" max="1" width="18.6640625" customWidth="1"/>
    <col min="2" max="2" width="20.33203125" customWidth="1"/>
    <col min="3" max="3" width="59" bestFit="1" customWidth="1"/>
    <col min="4" max="4" width="66.6640625" customWidth="1"/>
    <col min="5" max="5" width="14.6640625" bestFit="1" customWidth="1"/>
    <col min="6" max="6" width="14.44140625" bestFit="1" customWidth="1"/>
    <col min="7" max="7" width="10.33203125" customWidth="1"/>
    <col min="8" max="8" width="12.88671875" bestFit="1" customWidth="1"/>
    <col min="10" max="11" width="13.44140625" customWidth="1"/>
    <col min="12" max="12" width="16.44140625" customWidth="1"/>
    <col min="13" max="13" width="18.6640625" customWidth="1"/>
    <col min="14" max="14" width="22.88671875" customWidth="1"/>
    <col min="15" max="15" width="18.109375" customWidth="1"/>
    <col min="16" max="16" width="9.6640625" customWidth="1"/>
    <col min="17" max="17" width="15.88671875" customWidth="1"/>
    <col min="18" max="19" width="14.88671875" customWidth="1"/>
    <col min="20" max="20" width="17.6640625" customWidth="1"/>
    <col min="24" max="24" width="21.88671875" customWidth="1"/>
    <col min="25" max="25" width="20.109375" customWidth="1"/>
    <col min="26" max="26" width="16.33203125" customWidth="1"/>
    <col min="27" max="27" width="20.109375" customWidth="1"/>
    <col min="28" max="28" width="18.88671875" customWidth="1"/>
  </cols>
  <sheetData>
    <row r="1" spans="1:28" s="69" customFormat="1" ht="91.2" x14ac:dyDescent="0.45">
      <c r="A1" s="567" t="s">
        <v>1003</v>
      </c>
      <c r="B1" s="568"/>
      <c r="C1" s="567" t="s">
        <v>170</v>
      </c>
      <c r="D1" s="581" t="s">
        <v>1022</v>
      </c>
      <c r="E1" s="582"/>
      <c r="F1" s="583"/>
      <c r="G1" s="576"/>
      <c r="H1" s="576"/>
      <c r="I1" s="568"/>
      <c r="J1" s="173" t="s">
        <v>919</v>
      </c>
      <c r="K1" s="173" t="s">
        <v>32</v>
      </c>
      <c r="L1" s="173" t="s">
        <v>920</v>
      </c>
      <c r="M1" s="173" t="s">
        <v>904</v>
      </c>
      <c r="N1" s="173" t="s">
        <v>905</v>
      </c>
      <c r="O1" s="173" t="s">
        <v>906</v>
      </c>
      <c r="P1" s="43"/>
      <c r="Q1" s="43"/>
      <c r="R1" s="43"/>
      <c r="S1" s="43"/>
      <c r="T1" s="43"/>
      <c r="U1" s="43"/>
      <c r="V1" s="43"/>
    </row>
    <row r="2" spans="1:28" s="69" customFormat="1" ht="16.2" thickBot="1" x14ac:dyDescent="0.35">
      <c r="A2" s="774" t="s">
        <v>421</v>
      </c>
      <c r="B2" s="571" t="s">
        <v>200</v>
      </c>
      <c r="C2" s="572"/>
      <c r="D2" s="572"/>
      <c r="E2" s="578"/>
      <c r="F2" s="569"/>
      <c r="G2" s="577"/>
      <c r="H2" s="577"/>
      <c r="I2" s="570"/>
      <c r="J2" s="555"/>
      <c r="K2" s="555"/>
      <c r="L2" s="555"/>
      <c r="M2" s="555"/>
      <c r="N2" s="555"/>
      <c r="O2" s="555"/>
      <c r="P2" s="43"/>
      <c r="Q2" s="43"/>
      <c r="R2" s="43"/>
      <c r="S2" s="43"/>
      <c r="T2" s="43"/>
      <c r="U2" s="43"/>
      <c r="V2" s="43"/>
    </row>
    <row r="3" spans="1:28" s="69" customFormat="1" ht="16.2" thickBot="1" x14ac:dyDescent="0.35">
      <c r="A3" s="775"/>
      <c r="B3" s="571" t="s">
        <v>201</v>
      </c>
      <c r="C3" s="573"/>
      <c r="D3" s="573"/>
      <c r="E3" s="579"/>
      <c r="F3" s="556"/>
      <c r="G3" s="558"/>
      <c r="H3" s="558"/>
      <c r="I3" s="557"/>
      <c r="J3" s="555"/>
      <c r="K3" s="555"/>
      <c r="L3" s="555"/>
      <c r="M3" s="555"/>
      <c r="N3" s="555"/>
      <c r="O3" s="555"/>
      <c r="P3" s="43"/>
      <c r="Q3" s="43"/>
      <c r="R3" s="43"/>
      <c r="S3" s="43"/>
      <c r="T3" s="43"/>
      <c r="U3" s="43"/>
      <c r="V3" s="43"/>
    </row>
    <row r="4" spans="1:28" s="69" customFormat="1" ht="16.2" thickBot="1" x14ac:dyDescent="0.35">
      <c r="A4" s="773" t="s">
        <v>202</v>
      </c>
      <c r="B4" s="571" t="s">
        <v>200</v>
      </c>
      <c r="C4" s="573"/>
      <c r="D4" s="573"/>
      <c r="E4" s="579"/>
      <c r="F4" s="556"/>
      <c r="G4" s="558"/>
      <c r="H4" s="558"/>
      <c r="I4" s="557"/>
      <c r="J4" s="555"/>
      <c r="K4" s="555"/>
      <c r="L4" s="555"/>
      <c r="M4" s="555"/>
      <c r="N4" s="555"/>
      <c r="O4" s="555"/>
      <c r="P4" s="43"/>
      <c r="Q4" s="43"/>
      <c r="R4" s="43"/>
      <c r="S4" s="43"/>
      <c r="T4" s="43"/>
      <c r="U4" s="43"/>
      <c r="V4" s="43"/>
    </row>
    <row r="5" spans="1:28" s="69" customFormat="1" ht="16.2" thickBot="1" x14ac:dyDescent="0.35">
      <c r="A5" s="774"/>
      <c r="B5" s="571" t="s">
        <v>428</v>
      </c>
      <c r="C5" s="573"/>
      <c r="D5" s="573"/>
      <c r="E5" s="579"/>
      <c r="F5" s="556"/>
      <c r="G5" s="558"/>
      <c r="H5" s="558"/>
      <c r="I5" s="557"/>
      <c r="J5" s="555"/>
      <c r="K5" s="555"/>
      <c r="L5" s="555"/>
      <c r="M5" s="555"/>
      <c r="N5" s="555"/>
      <c r="O5" s="555"/>
      <c r="P5" s="43"/>
      <c r="Q5" s="43"/>
      <c r="R5" s="43"/>
      <c r="S5" s="43"/>
      <c r="T5" s="43"/>
      <c r="U5" s="43"/>
      <c r="V5" s="43"/>
    </row>
    <row r="6" spans="1:28" s="69" customFormat="1" ht="16.2" thickBot="1" x14ac:dyDescent="0.35">
      <c r="A6" s="775"/>
      <c r="B6" s="571" t="s">
        <v>204</v>
      </c>
      <c r="C6" s="573"/>
      <c r="D6" s="573"/>
      <c r="E6" s="579"/>
      <c r="F6" s="569"/>
      <c r="G6" s="577"/>
      <c r="H6" s="577"/>
      <c r="I6" s="570"/>
      <c r="J6" s="555"/>
      <c r="K6" s="555"/>
      <c r="L6" s="555"/>
      <c r="M6" s="555"/>
      <c r="N6" s="555"/>
      <c r="O6" s="555"/>
      <c r="P6" s="43"/>
      <c r="Q6" s="43"/>
      <c r="R6" s="43"/>
      <c r="S6" s="43"/>
      <c r="T6" s="43"/>
      <c r="U6" s="43"/>
      <c r="V6" s="43"/>
    </row>
    <row r="7" spans="1:28" s="69" customFormat="1" ht="16.2" thickBot="1" x14ac:dyDescent="0.35">
      <c r="A7" s="771" t="s">
        <v>205</v>
      </c>
      <c r="B7" s="571" t="s">
        <v>433</v>
      </c>
      <c r="C7" s="573"/>
      <c r="D7" s="573"/>
      <c r="E7" s="579"/>
      <c r="F7" s="569"/>
      <c r="G7" s="577"/>
      <c r="H7" s="577"/>
      <c r="I7" s="570"/>
      <c r="J7" s="555"/>
      <c r="K7" s="555"/>
      <c r="L7" s="555"/>
      <c r="M7" s="555"/>
      <c r="N7" s="555"/>
      <c r="O7" s="555"/>
      <c r="P7" s="43"/>
      <c r="Q7" s="43"/>
      <c r="R7" s="43"/>
      <c r="S7" s="43"/>
      <c r="T7" s="43"/>
      <c r="U7" s="43"/>
      <c r="V7" s="43"/>
    </row>
    <row r="8" spans="1:28" s="69" customFormat="1" ht="15.6" x14ac:dyDescent="0.3">
      <c r="A8" s="772"/>
      <c r="B8" s="574" t="s">
        <v>207</v>
      </c>
      <c r="C8" s="575"/>
      <c r="D8" s="575"/>
      <c r="E8" s="580"/>
      <c r="F8" s="569"/>
      <c r="G8" s="577"/>
      <c r="H8" s="577"/>
      <c r="I8" s="570"/>
      <c r="J8" s="555"/>
      <c r="K8" s="555"/>
      <c r="L8" s="555"/>
      <c r="M8" s="555"/>
      <c r="N8" s="555"/>
      <c r="O8" s="555"/>
      <c r="P8" s="43"/>
      <c r="Q8" s="43"/>
      <c r="R8" s="43"/>
      <c r="S8" s="43"/>
      <c r="T8" s="43"/>
      <c r="U8" s="43"/>
      <c r="V8" s="43"/>
    </row>
    <row r="9" spans="1:28" s="69" customFormat="1" x14ac:dyDescent="0.3">
      <c r="I9" s="43"/>
      <c r="J9" s="43"/>
      <c r="K9" s="43"/>
      <c r="L9" s="43"/>
      <c r="M9" s="43"/>
      <c r="N9" s="43"/>
      <c r="O9" s="43"/>
      <c r="P9" s="43"/>
      <c r="Q9" s="43"/>
      <c r="R9" s="43"/>
      <c r="S9" s="43"/>
      <c r="T9" s="43"/>
      <c r="U9" s="43"/>
    </row>
    <row r="10" spans="1:28" s="69" customFormat="1" x14ac:dyDescent="0.3">
      <c r="I10" s="43"/>
      <c r="J10" s="43"/>
      <c r="K10" s="43"/>
      <c r="L10" s="43"/>
      <c r="M10" s="43"/>
      <c r="N10" s="43"/>
      <c r="O10" s="43"/>
      <c r="P10" s="43"/>
      <c r="Q10" s="43"/>
      <c r="R10" s="43"/>
      <c r="S10" s="43"/>
      <c r="T10" s="43"/>
      <c r="U10" s="43"/>
    </row>
    <row r="11" spans="1:28" s="69" customFormat="1" ht="15" thickBot="1" x14ac:dyDescent="0.35">
      <c r="I11" s="43"/>
      <c r="J11" s="43"/>
      <c r="K11" s="43"/>
      <c r="L11" s="43"/>
      <c r="M11" s="43"/>
      <c r="N11" s="43"/>
      <c r="O11" s="43"/>
      <c r="P11" s="43"/>
      <c r="Q11" s="43"/>
      <c r="R11" s="43"/>
      <c r="S11" s="43"/>
      <c r="T11" s="43"/>
      <c r="U11" s="43"/>
    </row>
    <row r="12" spans="1:28" s="69" customFormat="1" ht="23.4" x14ac:dyDescent="0.45">
      <c r="A12" s="755" t="s">
        <v>982</v>
      </c>
      <c r="B12" s="756"/>
      <c r="C12" s="756"/>
      <c r="D12" s="756"/>
      <c r="E12" s="756"/>
      <c r="F12" s="756"/>
      <c r="G12" s="756"/>
      <c r="H12" s="756"/>
      <c r="I12" s="757"/>
      <c r="J12" s="740" t="s">
        <v>983</v>
      </c>
      <c r="K12" s="703"/>
      <c r="L12" s="703"/>
      <c r="M12" s="703"/>
      <c r="N12" s="703"/>
      <c r="O12" s="704"/>
      <c r="P12" s="728" t="s">
        <v>941</v>
      </c>
      <c r="Q12" s="672"/>
      <c r="R12" s="672"/>
      <c r="S12" s="672"/>
      <c r="T12" s="673"/>
      <c r="U12" s="705" t="s">
        <v>915</v>
      </c>
      <c r="V12" s="705"/>
      <c r="W12" s="705"/>
      <c r="X12" s="705"/>
      <c r="Y12" s="705"/>
      <c r="Z12" s="705"/>
      <c r="AA12" s="705"/>
      <c r="AB12" s="705"/>
    </row>
    <row r="13" spans="1:28" s="42" customFormat="1" ht="90" x14ac:dyDescent="0.35">
      <c r="A13" s="776" t="s">
        <v>418</v>
      </c>
      <c r="B13" s="777"/>
      <c r="C13" s="44" t="s">
        <v>419</v>
      </c>
      <c r="D13" s="44" t="s">
        <v>420</v>
      </c>
      <c r="E13" s="44" t="s">
        <v>172</v>
      </c>
      <c r="F13" s="44" t="s">
        <v>4</v>
      </c>
      <c r="G13" s="44" t="s">
        <v>173</v>
      </c>
      <c r="H13" s="44" t="s">
        <v>552</v>
      </c>
      <c r="I13" s="391" t="s">
        <v>901</v>
      </c>
      <c r="J13" s="216" t="s">
        <v>919</v>
      </c>
      <c r="K13" s="173" t="s">
        <v>902</v>
      </c>
      <c r="L13" s="173" t="s">
        <v>1034</v>
      </c>
      <c r="M13" s="173" t="s">
        <v>904</v>
      </c>
      <c r="N13" s="173" t="s">
        <v>905</v>
      </c>
      <c r="O13" s="217" t="s">
        <v>906</v>
      </c>
      <c r="P13" s="399" t="s">
        <v>172</v>
      </c>
      <c r="Q13" s="144" t="s">
        <v>902</v>
      </c>
      <c r="R13" s="143" t="s">
        <v>1031</v>
      </c>
      <c r="S13" s="143" t="s">
        <v>904</v>
      </c>
      <c r="T13" s="168" t="s">
        <v>905</v>
      </c>
      <c r="U13" s="168" t="s">
        <v>907</v>
      </c>
      <c r="V13" s="168" t="s">
        <v>910</v>
      </c>
      <c r="W13" s="168" t="s">
        <v>911</v>
      </c>
      <c r="X13" s="172" t="s">
        <v>908</v>
      </c>
      <c r="Y13" s="172" t="s">
        <v>909</v>
      </c>
      <c r="Z13" s="172" t="s">
        <v>917</v>
      </c>
      <c r="AA13" s="172" t="s">
        <v>912</v>
      </c>
      <c r="AB13" s="144" t="s">
        <v>906</v>
      </c>
    </row>
    <row r="14" spans="1:28" s="42" customFormat="1" ht="18.600000000000001" thickBot="1" x14ac:dyDescent="0.4">
      <c r="A14" s="778" t="s">
        <v>421</v>
      </c>
      <c r="B14" s="393" t="s">
        <v>200</v>
      </c>
      <c r="C14" s="394" t="s">
        <v>422</v>
      </c>
      <c r="D14" s="394" t="s">
        <v>423</v>
      </c>
      <c r="E14" s="394">
        <v>6.18</v>
      </c>
      <c r="F14" s="394">
        <v>1.8</v>
      </c>
      <c r="G14" s="395">
        <f t="shared" ref="G14:G20" si="0">E14-F14</f>
        <v>4.38</v>
      </c>
      <c r="H14" s="395">
        <f>G14*Inflation!$D$4</f>
        <v>4.4632199999999997</v>
      </c>
      <c r="I14" s="392">
        <v>3.61</v>
      </c>
      <c r="J14" s="326">
        <f>P14*Inflation!$D$5</f>
        <v>6.4170709799999992</v>
      </c>
      <c r="K14" s="203">
        <f>Q14*Inflation!$D$5</f>
        <v>1.8690497999999998</v>
      </c>
      <c r="L14" s="203">
        <f>R14*Inflation!$D$5</f>
        <v>2.7642297664189441</v>
      </c>
      <c r="M14" s="537">
        <f>S14*Inflation!$D$5</f>
        <v>4.5480211799999992</v>
      </c>
      <c r="N14" s="537">
        <f>T14*Inflation!$D$5</f>
        <v>9.1813007464189429</v>
      </c>
      <c r="O14" s="538">
        <f>AB14*Inflation!$D$4</f>
        <v>6.2823088484005778</v>
      </c>
      <c r="P14" s="400">
        <f>E14</f>
        <v>6.18</v>
      </c>
      <c r="Q14" s="11">
        <f>F14</f>
        <v>1.8</v>
      </c>
      <c r="R14" s="11">
        <f>I14*'Labor Adjustment'!$B$10</f>
        <v>2.6621086177340487</v>
      </c>
      <c r="S14" s="11">
        <f>P14-Q14</f>
        <v>4.38</v>
      </c>
      <c r="T14" s="11">
        <f>P14+R14</f>
        <v>8.8421086177340484</v>
      </c>
      <c r="U14" s="158">
        <v>0.05</v>
      </c>
      <c r="V14" s="159">
        <v>12</v>
      </c>
      <c r="W14" s="159">
        <f>V14/3</f>
        <v>4</v>
      </c>
      <c r="X14" s="139">
        <f>((1+U14)^W14-1)/(U14*(1+U14)^W14)</f>
        <v>3.5459505041623602</v>
      </c>
      <c r="Y14" s="139">
        <f>((1+U14)^V14-1)/(U14*(1+U14)^V14)</f>
        <v>8.8632516364488083</v>
      </c>
      <c r="Z14" s="139">
        <f>X14/Y14</f>
        <v>0.40007331954563541</v>
      </c>
      <c r="AA14" s="139">
        <f>(Q14+R14)*Z14</f>
        <v>1.7851706068700475</v>
      </c>
      <c r="AB14" s="139">
        <f>AA14+S14</f>
        <v>6.1651706068700474</v>
      </c>
    </row>
    <row r="15" spans="1:28" s="42" customFormat="1" ht="18.600000000000001" thickBot="1" x14ac:dyDescent="0.4">
      <c r="A15" s="779"/>
      <c r="B15" s="393" t="s">
        <v>201</v>
      </c>
      <c r="C15" s="102" t="s">
        <v>424</v>
      </c>
      <c r="D15" s="102" t="s">
        <v>425</v>
      </c>
      <c r="E15" s="102">
        <v>5.33</v>
      </c>
      <c r="F15" s="102">
        <v>1.93</v>
      </c>
      <c r="G15" s="97">
        <f t="shared" si="0"/>
        <v>3.4000000000000004</v>
      </c>
      <c r="H15" s="97">
        <f>G15*Inflation!$D$4</f>
        <v>3.4645999999999999</v>
      </c>
      <c r="I15" s="392">
        <v>3.61</v>
      </c>
      <c r="J15" s="326">
        <f>P15*Inflation!$D$5</f>
        <v>5.534464129999999</v>
      </c>
      <c r="K15" s="203">
        <f>Q15*Inflation!$D$5</f>
        <v>2.0040367299999997</v>
      </c>
      <c r="L15" s="203">
        <f>R15*Inflation!$D$5</f>
        <v>2.7642297664189441</v>
      </c>
      <c r="M15" s="537">
        <f>S15*Inflation!$D$5</f>
        <v>3.5304273999999998</v>
      </c>
      <c r="N15" s="537">
        <f>T15*Inflation!$D$5</f>
        <v>8.2986938964189427</v>
      </c>
      <c r="O15" s="538">
        <f>AB15*Inflation!$D$4</f>
        <v>5.3366865610407892</v>
      </c>
      <c r="P15" s="400">
        <f t="shared" ref="P15:P20" si="1">E15</f>
        <v>5.33</v>
      </c>
      <c r="Q15" s="11">
        <f t="shared" ref="Q15:Q20" si="2">F15</f>
        <v>1.93</v>
      </c>
      <c r="R15" s="11">
        <f>I15*'Labor Adjustment'!$B$10</f>
        <v>2.6621086177340487</v>
      </c>
      <c r="S15" s="11">
        <f t="shared" ref="S15:S20" si="3">P15-Q15</f>
        <v>3.4000000000000004</v>
      </c>
      <c r="T15" s="11">
        <f t="shared" ref="T15:T20" si="4">P15+R15</f>
        <v>7.9921086177340488</v>
      </c>
      <c r="U15" s="158">
        <v>0.05</v>
      </c>
      <c r="V15" s="159">
        <v>12</v>
      </c>
      <c r="W15" s="159">
        <f t="shared" ref="W15:W20" si="5">V15/3</f>
        <v>4</v>
      </c>
      <c r="X15" s="139">
        <f t="shared" ref="X15:X20" si="6">((1+U15)^W15-1)/(U15*(1+U15)^W15)</f>
        <v>3.5459505041623602</v>
      </c>
      <c r="Y15" s="139">
        <f t="shared" ref="Y15:Y20" si="7">((1+U15)^V15-1)/(U15*(1+U15)^V15)</f>
        <v>8.8632516364488083</v>
      </c>
      <c r="Z15" s="139">
        <f t="shared" ref="Z15:Z20" si="8">X15/Y15</f>
        <v>0.40007331954563541</v>
      </c>
      <c r="AA15" s="139">
        <f t="shared" ref="AA15:AA20" si="9">(Q15+R15)*Z15</f>
        <v>1.83718013841098</v>
      </c>
      <c r="AB15" s="139">
        <f t="shared" ref="AB15:AB20" si="10">AA15+S15</f>
        <v>5.2371801384109808</v>
      </c>
    </row>
    <row r="16" spans="1:28" s="42" customFormat="1" ht="18.600000000000001" thickBot="1" x14ac:dyDescent="0.4">
      <c r="A16" s="780" t="s">
        <v>202</v>
      </c>
      <c r="B16" s="393" t="s">
        <v>200</v>
      </c>
      <c r="C16" s="102" t="s">
        <v>426</v>
      </c>
      <c r="D16" s="102" t="s">
        <v>427</v>
      </c>
      <c r="E16" s="102">
        <v>7.63</v>
      </c>
      <c r="F16" s="102">
        <v>1.63</v>
      </c>
      <c r="G16" s="97">
        <f t="shared" si="0"/>
        <v>6</v>
      </c>
      <c r="H16" s="97">
        <f>G16*Inflation!$D$4</f>
        <v>6.113999999999999</v>
      </c>
      <c r="I16" s="392">
        <v>3.61</v>
      </c>
      <c r="J16" s="326">
        <f>P16*Inflation!$D$5</f>
        <v>7.9226944299999991</v>
      </c>
      <c r="K16" s="203">
        <f>Q16*Inflation!$D$5</f>
        <v>1.6925284299999996</v>
      </c>
      <c r="L16" s="203">
        <f>R16*Inflation!$D$5</f>
        <v>2.7642297664189441</v>
      </c>
      <c r="M16" s="537">
        <f>S16*Inflation!$D$5</f>
        <v>6.2301659999999988</v>
      </c>
      <c r="N16" s="537">
        <f>T16*Inflation!$D$5</f>
        <v>10.686924196418943</v>
      </c>
      <c r="O16" s="538">
        <f>AB16*Inflation!$D$4</f>
        <v>7.8637841472556866</v>
      </c>
      <c r="P16" s="400">
        <f t="shared" si="1"/>
        <v>7.63</v>
      </c>
      <c r="Q16" s="11">
        <f t="shared" si="2"/>
        <v>1.63</v>
      </c>
      <c r="R16" s="11">
        <f>I16*'Labor Adjustment'!$B$10</f>
        <v>2.6621086177340487</v>
      </c>
      <c r="S16" s="11">
        <f t="shared" si="3"/>
        <v>6</v>
      </c>
      <c r="T16" s="11">
        <f t="shared" si="4"/>
        <v>10.292108617734048</v>
      </c>
      <c r="U16" s="158">
        <v>0.05</v>
      </c>
      <c r="V16" s="159">
        <v>12</v>
      </c>
      <c r="W16" s="159">
        <f t="shared" si="5"/>
        <v>4</v>
      </c>
      <c r="X16" s="139">
        <f t="shared" si="6"/>
        <v>3.5459505041623602</v>
      </c>
      <c r="Y16" s="139">
        <f t="shared" si="7"/>
        <v>8.8632516364488083</v>
      </c>
      <c r="Z16" s="139">
        <f t="shared" si="8"/>
        <v>0.40007331954563541</v>
      </c>
      <c r="AA16" s="139">
        <f t="shared" si="9"/>
        <v>1.7171581425472895</v>
      </c>
      <c r="AB16" s="139">
        <f t="shared" si="10"/>
        <v>7.717158142547289</v>
      </c>
    </row>
    <row r="17" spans="1:28" s="42" customFormat="1" ht="18.600000000000001" thickBot="1" x14ac:dyDescent="0.4">
      <c r="A17" s="778"/>
      <c r="B17" s="393" t="s">
        <v>428</v>
      </c>
      <c r="C17" s="102" t="s">
        <v>429</v>
      </c>
      <c r="D17" s="102" t="s">
        <v>430</v>
      </c>
      <c r="E17" s="102">
        <v>9.5299999999999994</v>
      </c>
      <c r="F17" s="102">
        <v>3.46</v>
      </c>
      <c r="G17" s="97">
        <f t="shared" si="0"/>
        <v>6.0699999999999994</v>
      </c>
      <c r="H17" s="97">
        <f>G17*Inflation!$D$4</f>
        <v>6.1853299999999987</v>
      </c>
      <c r="I17" s="392">
        <v>3.61</v>
      </c>
      <c r="J17" s="326">
        <f>P17*Inflation!$D$5</f>
        <v>9.8955803299999978</v>
      </c>
      <c r="K17" s="203">
        <f>Q17*Inflation!$D$5</f>
        <v>3.5927290599999995</v>
      </c>
      <c r="L17" s="203">
        <f>R17*Inflation!$D$5</f>
        <v>2.7642297664189441</v>
      </c>
      <c r="M17" s="537">
        <f>S17*Inflation!$D$5</f>
        <v>6.3028512699999988</v>
      </c>
      <c r="N17" s="537">
        <f>T17*Inflation!$D$5</f>
        <v>12.659810096418942</v>
      </c>
      <c r="O17" s="538">
        <f>AB17*Inflation!$D$4</f>
        <v>8.6811588713448025</v>
      </c>
      <c r="P17" s="400">
        <f t="shared" si="1"/>
        <v>9.5299999999999994</v>
      </c>
      <c r="Q17" s="11">
        <f t="shared" si="2"/>
        <v>3.46</v>
      </c>
      <c r="R17" s="11">
        <f>I17*'Labor Adjustment'!$B$10</f>
        <v>2.6621086177340487</v>
      </c>
      <c r="S17" s="11">
        <f t="shared" si="3"/>
        <v>6.0699999999999994</v>
      </c>
      <c r="T17" s="11">
        <f t="shared" si="4"/>
        <v>12.192108617734048</v>
      </c>
      <c r="U17" s="158">
        <v>0.05</v>
      </c>
      <c r="V17" s="159">
        <v>12</v>
      </c>
      <c r="W17" s="159">
        <f t="shared" si="5"/>
        <v>4</v>
      </c>
      <c r="X17" s="139">
        <f t="shared" si="6"/>
        <v>3.5459505041623602</v>
      </c>
      <c r="Y17" s="139">
        <f t="shared" si="7"/>
        <v>8.8632516364488083</v>
      </c>
      <c r="Z17" s="139">
        <f t="shared" si="8"/>
        <v>0.40007331954563541</v>
      </c>
      <c r="AA17" s="139">
        <f t="shared" si="9"/>
        <v>2.4492923173158023</v>
      </c>
      <c r="AB17" s="139">
        <f t="shared" si="10"/>
        <v>8.5192923173158022</v>
      </c>
    </row>
    <row r="18" spans="1:28" s="42" customFormat="1" ht="18.600000000000001" thickBot="1" x14ac:dyDescent="0.4">
      <c r="A18" s="779"/>
      <c r="B18" s="393" t="s">
        <v>204</v>
      </c>
      <c r="C18" s="102" t="s">
        <v>431</v>
      </c>
      <c r="D18" s="102" t="s">
        <v>432</v>
      </c>
      <c r="E18" s="102">
        <v>8.3699999999999992</v>
      </c>
      <c r="F18" s="102">
        <v>4.08</v>
      </c>
      <c r="G18" s="97">
        <f t="shared" si="0"/>
        <v>4.2899999999999991</v>
      </c>
      <c r="H18" s="97">
        <f>G18*Inflation!$D$4</f>
        <v>4.3715099999999989</v>
      </c>
      <c r="I18" s="392">
        <v>3.61</v>
      </c>
      <c r="J18" s="326">
        <f>P18*Inflation!$D$5</f>
        <v>8.6910815699999979</v>
      </c>
      <c r="K18" s="203">
        <f>Q18*Inflation!$D$5</f>
        <v>4.2365128799999994</v>
      </c>
      <c r="L18" s="203">
        <f>R18*Inflation!$D$5</f>
        <v>2.7642297664189441</v>
      </c>
      <c r="M18" s="537">
        <f>S18*Inflation!$D$5</f>
        <v>4.4545686899999986</v>
      </c>
      <c r="N18" s="537">
        <f>T18*Inflation!$D$5</f>
        <v>11.455311336418943</v>
      </c>
      <c r="O18" s="538">
        <f>AB18*Inflation!$D$4</f>
        <v>7.1200971931673429</v>
      </c>
      <c r="P18" s="400">
        <f t="shared" si="1"/>
        <v>8.3699999999999992</v>
      </c>
      <c r="Q18" s="11">
        <f t="shared" si="2"/>
        <v>4.08</v>
      </c>
      <c r="R18" s="11">
        <f>I18*'Labor Adjustment'!$B$10</f>
        <v>2.6621086177340487</v>
      </c>
      <c r="S18" s="11">
        <f t="shared" si="3"/>
        <v>4.2899999999999991</v>
      </c>
      <c r="T18" s="11">
        <f t="shared" si="4"/>
        <v>11.032108617734048</v>
      </c>
      <c r="U18" s="158">
        <v>0.05</v>
      </c>
      <c r="V18" s="159">
        <v>12</v>
      </c>
      <c r="W18" s="159">
        <f t="shared" si="5"/>
        <v>4</v>
      </c>
      <c r="X18" s="139">
        <f t="shared" si="6"/>
        <v>3.5459505041623602</v>
      </c>
      <c r="Y18" s="139">
        <f t="shared" si="7"/>
        <v>8.8632516364488083</v>
      </c>
      <c r="Z18" s="139">
        <f t="shared" si="8"/>
        <v>0.40007331954563541</v>
      </c>
      <c r="AA18" s="139">
        <f t="shared" si="9"/>
        <v>2.6973377754340961</v>
      </c>
      <c r="AB18" s="139">
        <f t="shared" si="10"/>
        <v>6.9873377754340957</v>
      </c>
    </row>
    <row r="19" spans="1:28" s="42" customFormat="1" ht="18.600000000000001" thickBot="1" x14ac:dyDescent="0.4">
      <c r="A19" s="781" t="s">
        <v>205</v>
      </c>
      <c r="B19" s="393" t="s">
        <v>433</v>
      </c>
      <c r="C19" s="102" t="s">
        <v>434</v>
      </c>
      <c r="D19" s="102" t="s">
        <v>435</v>
      </c>
      <c r="E19" s="102">
        <v>11.66</v>
      </c>
      <c r="F19" s="102">
        <v>4.21</v>
      </c>
      <c r="G19" s="97">
        <f t="shared" si="0"/>
        <v>7.45</v>
      </c>
      <c r="H19" s="97">
        <f>G19*Inflation!$D$4</f>
        <v>7.5915499999999998</v>
      </c>
      <c r="I19" s="392">
        <v>3.61</v>
      </c>
      <c r="J19" s="326">
        <f>P19*Inflation!$D$5</f>
        <v>12.107289259999998</v>
      </c>
      <c r="K19" s="203">
        <f>Q19*Inflation!$D$5</f>
        <v>4.3714998099999995</v>
      </c>
      <c r="L19" s="203">
        <f>R19*Inflation!$D$5</f>
        <v>2.7642297664189441</v>
      </c>
      <c r="M19" s="537">
        <f>S19*Inflation!$D$5</f>
        <v>7.7357894499999995</v>
      </c>
      <c r="N19" s="537">
        <f>T19*Inflation!$D$5</f>
        <v>14.871519026418943</v>
      </c>
      <c r="O19" s="538">
        <f>AB19*Inflation!$D$4</f>
        <v>10.393134905807553</v>
      </c>
      <c r="P19" s="400">
        <f t="shared" si="1"/>
        <v>11.66</v>
      </c>
      <c r="Q19" s="11">
        <f t="shared" si="2"/>
        <v>4.21</v>
      </c>
      <c r="R19" s="11">
        <f>I19*'Labor Adjustment'!$B$10</f>
        <v>2.6621086177340487</v>
      </c>
      <c r="S19" s="11">
        <f t="shared" si="3"/>
        <v>7.45</v>
      </c>
      <c r="T19" s="11">
        <f t="shared" si="4"/>
        <v>14.322108617734049</v>
      </c>
      <c r="U19" s="158">
        <v>0.05</v>
      </c>
      <c r="V19" s="159">
        <v>12</v>
      </c>
      <c r="W19" s="159">
        <f t="shared" si="5"/>
        <v>4</v>
      </c>
      <c r="X19" s="139">
        <f t="shared" si="6"/>
        <v>3.5459505041623602</v>
      </c>
      <c r="Y19" s="139">
        <f t="shared" si="7"/>
        <v>8.8632516364488083</v>
      </c>
      <c r="Z19" s="139">
        <f t="shared" si="8"/>
        <v>0.40007331954563541</v>
      </c>
      <c r="AA19" s="139">
        <f t="shared" si="9"/>
        <v>2.7493473069750287</v>
      </c>
      <c r="AB19" s="139">
        <f t="shared" si="10"/>
        <v>10.199347306975028</v>
      </c>
    </row>
    <row r="20" spans="1:28" s="42" customFormat="1" ht="18" x14ac:dyDescent="0.35">
      <c r="A20" s="782"/>
      <c r="B20" s="396" t="s">
        <v>207</v>
      </c>
      <c r="C20" s="397" t="s">
        <v>436</v>
      </c>
      <c r="D20" s="397" t="s">
        <v>437</v>
      </c>
      <c r="E20" s="397">
        <v>18.75</v>
      </c>
      <c r="F20" s="397">
        <v>7.77</v>
      </c>
      <c r="G20" s="398">
        <f t="shared" si="0"/>
        <v>10.98</v>
      </c>
      <c r="H20" s="97">
        <f>G20*Inflation!$D$4</f>
        <v>11.18862</v>
      </c>
      <c r="I20" s="392">
        <v>3.61</v>
      </c>
      <c r="J20" s="326">
        <f>P20*Inflation!$D$5</f>
        <v>19.469268749999998</v>
      </c>
      <c r="K20" s="203">
        <f>Q20*Inflation!$D$5</f>
        <v>8.0680649699999982</v>
      </c>
      <c r="L20" s="203">
        <f>R20*Inflation!$D$5</f>
        <v>2.7642297664189441</v>
      </c>
      <c r="M20" s="537">
        <f>S20*Inflation!$D$5</f>
        <v>11.401203779999999</v>
      </c>
      <c r="N20" s="537">
        <f>T20*Inflation!$D$5</f>
        <v>22.23349851641894</v>
      </c>
      <c r="O20" s="538">
        <f>AB20*Inflation!$D$4</f>
        <v>15.441526882724084</v>
      </c>
      <c r="P20" s="400">
        <f t="shared" si="1"/>
        <v>18.75</v>
      </c>
      <c r="Q20" s="11">
        <f t="shared" si="2"/>
        <v>7.77</v>
      </c>
      <c r="R20" s="11">
        <f>I20*'Labor Adjustment'!$B$10</f>
        <v>2.6621086177340487</v>
      </c>
      <c r="S20" s="11">
        <f t="shared" si="3"/>
        <v>10.98</v>
      </c>
      <c r="T20" s="11">
        <f t="shared" si="4"/>
        <v>21.412108617734049</v>
      </c>
      <c r="U20" s="158">
        <v>0.05</v>
      </c>
      <c r="V20" s="159">
        <v>12</v>
      </c>
      <c r="W20" s="159">
        <f t="shared" si="5"/>
        <v>4</v>
      </c>
      <c r="X20" s="139">
        <f t="shared" si="6"/>
        <v>3.5459505041623602</v>
      </c>
      <c r="Y20" s="139">
        <f t="shared" si="7"/>
        <v>8.8632516364488083</v>
      </c>
      <c r="Z20" s="139">
        <f t="shared" si="8"/>
        <v>0.40007331954563541</v>
      </c>
      <c r="AA20" s="139">
        <f t="shared" si="9"/>
        <v>4.1736083245574909</v>
      </c>
      <c r="AB20" s="139">
        <f t="shared" si="10"/>
        <v>15.153608324557492</v>
      </c>
    </row>
    <row r="21" spans="1:28" s="42" customFormat="1" ht="15" customHeight="1" thickBot="1" x14ac:dyDescent="0.35">
      <c r="A21" s="741" t="s">
        <v>438</v>
      </c>
      <c r="B21" s="742"/>
      <c r="C21" s="742"/>
      <c r="D21" s="742"/>
      <c r="E21" s="742"/>
      <c r="F21" s="742"/>
      <c r="G21" s="742"/>
      <c r="H21" s="742"/>
      <c r="I21" s="743"/>
      <c r="J21" s="401"/>
      <c r="K21" s="402"/>
      <c r="L21" s="402"/>
      <c r="M21" s="402"/>
      <c r="N21" s="402"/>
      <c r="O21" s="403"/>
    </row>
    <row r="23" spans="1:28" ht="15" thickBot="1" x14ac:dyDescent="0.35">
      <c r="A23" s="12"/>
      <c r="B23" s="12"/>
      <c r="C23" s="12"/>
      <c r="D23" s="12"/>
      <c r="E23" s="12"/>
      <c r="F23" s="12"/>
      <c r="G23" s="12"/>
      <c r="H23" s="12"/>
      <c r="I23" s="12"/>
    </row>
    <row r="24" spans="1:28" ht="21" x14ac:dyDescent="0.4">
      <c r="A24" s="718" t="s">
        <v>627</v>
      </c>
      <c r="B24" s="719"/>
      <c r="C24" s="719"/>
      <c r="D24" s="719"/>
      <c r="E24" s="719"/>
      <c r="F24" s="719"/>
      <c r="G24" s="719"/>
      <c r="H24" s="719"/>
      <c r="I24" s="720"/>
      <c r="J24" s="740" t="s">
        <v>983</v>
      </c>
      <c r="K24" s="703"/>
      <c r="L24" s="703"/>
      <c r="M24" s="703"/>
      <c r="N24" s="703"/>
      <c r="O24" s="704"/>
      <c r="P24" s="728" t="s">
        <v>899</v>
      </c>
      <c r="Q24" s="672"/>
      <c r="R24" s="672"/>
      <c r="S24" s="672"/>
      <c r="T24" s="673"/>
      <c r="U24" s="705" t="s">
        <v>915</v>
      </c>
      <c r="V24" s="705"/>
      <c r="W24" s="705"/>
      <c r="X24" s="705"/>
      <c r="Y24" s="705"/>
      <c r="Z24" s="705"/>
      <c r="AA24" s="705"/>
      <c r="AB24" s="705"/>
    </row>
    <row r="25" spans="1:28" ht="90" x14ac:dyDescent="0.35">
      <c r="A25" s="769" t="s">
        <v>169</v>
      </c>
      <c r="B25" s="770"/>
      <c r="C25" s="44" t="s">
        <v>170</v>
      </c>
      <c r="D25" s="44" t="s">
        <v>29</v>
      </c>
      <c r="E25" s="44" t="s">
        <v>233</v>
      </c>
      <c r="F25" s="44" t="s">
        <v>234</v>
      </c>
      <c r="G25" s="44" t="s">
        <v>173</v>
      </c>
      <c r="H25" s="44" t="s">
        <v>552</v>
      </c>
      <c r="I25" s="391" t="s">
        <v>901</v>
      </c>
      <c r="J25" s="216" t="s">
        <v>919</v>
      </c>
      <c r="K25" s="173" t="s">
        <v>902</v>
      </c>
      <c r="L25" s="173" t="s">
        <v>1034</v>
      </c>
      <c r="M25" s="173" t="s">
        <v>904</v>
      </c>
      <c r="N25" s="173" t="s">
        <v>905</v>
      </c>
      <c r="O25" s="217" t="s">
        <v>906</v>
      </c>
      <c r="P25" s="399" t="s">
        <v>172</v>
      </c>
      <c r="Q25" s="144" t="s">
        <v>902</v>
      </c>
      <c r="R25" s="143" t="s">
        <v>1031</v>
      </c>
      <c r="S25" s="143" t="s">
        <v>904</v>
      </c>
      <c r="T25" s="168" t="s">
        <v>905</v>
      </c>
      <c r="U25" s="168" t="s">
        <v>907</v>
      </c>
      <c r="V25" s="168" t="s">
        <v>942</v>
      </c>
      <c r="W25" s="168" t="s">
        <v>911</v>
      </c>
      <c r="X25" s="172" t="s">
        <v>908</v>
      </c>
      <c r="Y25" s="172" t="s">
        <v>909</v>
      </c>
      <c r="Z25" s="172" t="s">
        <v>917</v>
      </c>
      <c r="AA25" s="172" t="s">
        <v>912</v>
      </c>
      <c r="AB25" s="144" t="s">
        <v>906</v>
      </c>
    </row>
    <row r="26" spans="1:28" ht="18" x14ac:dyDescent="0.35">
      <c r="A26" s="767" t="s">
        <v>628</v>
      </c>
      <c r="B26" s="768"/>
      <c r="C26" s="7" t="s">
        <v>636</v>
      </c>
      <c r="D26" s="388" t="s">
        <v>630</v>
      </c>
      <c r="E26" s="311">
        <v>9.9700000000000006</v>
      </c>
      <c r="F26" s="311">
        <v>7.65</v>
      </c>
      <c r="G26" s="311">
        <f>E26-F26</f>
        <v>2.3200000000000003</v>
      </c>
      <c r="H26" s="97">
        <f>G26</f>
        <v>2.3200000000000003</v>
      </c>
      <c r="I26" s="392">
        <v>3.61</v>
      </c>
      <c r="J26" s="326">
        <f t="shared" ref="J26:N27" si="11">P26</f>
        <v>9.9700000000000006</v>
      </c>
      <c r="K26" s="203">
        <f t="shared" si="11"/>
        <v>7.65</v>
      </c>
      <c r="L26" s="203">
        <f t="shared" si="11"/>
        <v>2.6621086177340487</v>
      </c>
      <c r="M26" s="203">
        <f t="shared" si="11"/>
        <v>2.3200000000000003</v>
      </c>
      <c r="N26" s="203">
        <f t="shared" si="11"/>
        <v>12.632108617734049</v>
      </c>
      <c r="O26" s="327">
        <f>AB26</f>
        <v>6.4455995262120149</v>
      </c>
      <c r="P26" s="400">
        <f>E26</f>
        <v>9.9700000000000006</v>
      </c>
      <c r="Q26" s="11">
        <f>F26</f>
        <v>7.65</v>
      </c>
      <c r="R26" s="11">
        <f>I26*'Labor Adjustment'!$B$10</f>
        <v>2.6621086177340487</v>
      </c>
      <c r="S26" s="11">
        <f>P26-Q26</f>
        <v>2.3200000000000003</v>
      </c>
      <c r="T26" s="11">
        <f>P26+R26</f>
        <v>12.632108617734049</v>
      </c>
      <c r="U26" s="158">
        <v>0.05</v>
      </c>
      <c r="V26" s="159">
        <v>12</v>
      </c>
      <c r="W26" s="159">
        <f>V26/3</f>
        <v>4</v>
      </c>
      <c r="X26" s="139">
        <f>((1+U26)^W26-1)/(U26*(1+U26)^W26)</f>
        <v>3.5459505041623602</v>
      </c>
      <c r="Y26" s="139">
        <f>((1+U26)^V26-1)/(U26*(1+U26)^V26)</f>
        <v>8.8632516364488083</v>
      </c>
      <c r="Z26" s="139">
        <f>X26/Y26</f>
        <v>0.40007331954563541</v>
      </c>
      <c r="AA26" s="139">
        <f>(Q26+R26)*Z26</f>
        <v>4.1255995262120146</v>
      </c>
      <c r="AB26" s="139">
        <f>AA26+S26</f>
        <v>6.4455995262120149</v>
      </c>
    </row>
    <row r="27" spans="1:28" ht="29.4" x14ac:dyDescent="0.35">
      <c r="A27" s="767" t="s">
        <v>629</v>
      </c>
      <c r="B27" s="768"/>
      <c r="C27" s="7" t="s">
        <v>637</v>
      </c>
      <c r="D27" s="390" t="s">
        <v>334</v>
      </c>
      <c r="E27" s="311">
        <v>9.49</v>
      </c>
      <c r="F27" s="311">
        <v>7.65</v>
      </c>
      <c r="G27" s="311">
        <f>E27-F27</f>
        <v>1.8399999999999999</v>
      </c>
      <c r="H27" s="97">
        <f>G27</f>
        <v>1.8399999999999999</v>
      </c>
      <c r="I27" s="392">
        <v>3.61</v>
      </c>
      <c r="J27" s="326">
        <f t="shared" si="11"/>
        <v>9.49</v>
      </c>
      <c r="K27" s="203">
        <f t="shared" si="11"/>
        <v>7.65</v>
      </c>
      <c r="L27" s="203">
        <f t="shared" si="11"/>
        <v>2.6621086177340487</v>
      </c>
      <c r="M27" s="203">
        <f t="shared" si="11"/>
        <v>1.8399999999999999</v>
      </c>
      <c r="N27" s="203">
        <f t="shared" si="11"/>
        <v>12.152108617734049</v>
      </c>
      <c r="O27" s="327">
        <f>AB27</f>
        <v>5.9655995262120145</v>
      </c>
      <c r="P27" s="400">
        <f>E27</f>
        <v>9.49</v>
      </c>
      <c r="Q27" s="11">
        <f>F27</f>
        <v>7.65</v>
      </c>
      <c r="R27" s="11">
        <f>I27*'Labor Adjustment'!$B$10</f>
        <v>2.6621086177340487</v>
      </c>
      <c r="S27" s="11">
        <f>P27-Q27</f>
        <v>1.8399999999999999</v>
      </c>
      <c r="T27" s="11">
        <f>P27+R27</f>
        <v>12.152108617734049</v>
      </c>
      <c r="U27" s="158">
        <v>0.05</v>
      </c>
      <c r="V27" s="159">
        <v>12</v>
      </c>
      <c r="W27" s="159">
        <f>V27/3</f>
        <v>4</v>
      </c>
      <c r="X27" s="139">
        <f>((1+U27)^W27-1)/(U27*(1+U27)^W27)</f>
        <v>3.5459505041623602</v>
      </c>
      <c r="Y27" s="139">
        <f>((1+U27)^V27-1)/(U27*(1+U27)^V27)</f>
        <v>8.8632516364488083</v>
      </c>
      <c r="Z27" s="139">
        <f>X27/Y27</f>
        <v>0.40007331954563541</v>
      </c>
      <c r="AA27" s="139">
        <f>(Q27+R27)*Z27</f>
        <v>4.1255995262120146</v>
      </c>
      <c r="AB27" s="139">
        <f>AA27+S27</f>
        <v>5.9655995262120145</v>
      </c>
    </row>
    <row r="28" spans="1:28" ht="14.4" customHeight="1" x14ac:dyDescent="0.3">
      <c r="A28" s="761" t="s">
        <v>772</v>
      </c>
      <c r="B28" s="762"/>
      <c r="C28" s="762"/>
      <c r="D28" s="762"/>
      <c r="E28" s="762"/>
      <c r="F28" s="762"/>
      <c r="G28" s="762"/>
      <c r="H28" s="762"/>
      <c r="I28" s="763"/>
      <c r="J28" s="404"/>
      <c r="K28" s="405"/>
      <c r="L28" s="405"/>
      <c r="M28" s="405"/>
      <c r="N28" s="405"/>
      <c r="O28" s="406"/>
    </row>
    <row r="29" spans="1:28" s="69" customFormat="1" ht="14.4" customHeight="1" thickBot="1" x14ac:dyDescent="0.35">
      <c r="A29" s="758" t="s">
        <v>943</v>
      </c>
      <c r="B29" s="759"/>
      <c r="C29" s="759"/>
      <c r="D29" s="759"/>
      <c r="E29" s="759"/>
      <c r="F29" s="759"/>
      <c r="G29" s="759"/>
      <c r="H29" s="759"/>
      <c r="I29" s="760"/>
      <c r="J29" s="407"/>
      <c r="K29" s="408"/>
      <c r="L29" s="408"/>
      <c r="M29" s="408"/>
      <c r="N29" s="408"/>
      <c r="O29" s="409"/>
    </row>
    <row r="30" spans="1:28" s="69" customFormat="1" ht="15" thickBot="1" x14ac:dyDescent="0.35">
      <c r="A30" s="100"/>
      <c r="B30" s="100"/>
      <c r="C30" s="100"/>
      <c r="D30" s="100"/>
      <c r="E30" s="100"/>
      <c r="F30" s="100"/>
      <c r="G30" s="100"/>
      <c r="H30" s="100"/>
    </row>
    <row r="31" spans="1:28" s="69" customFormat="1" ht="21" x14ac:dyDescent="0.4">
      <c r="A31" s="718" t="s">
        <v>705</v>
      </c>
      <c r="B31" s="719"/>
      <c r="C31" s="719"/>
      <c r="D31" s="719"/>
      <c r="E31" s="719"/>
      <c r="F31" s="719"/>
      <c r="G31" s="719"/>
      <c r="H31" s="719"/>
      <c r="I31" s="720"/>
      <c r="J31" s="740" t="s">
        <v>983</v>
      </c>
      <c r="K31" s="703"/>
      <c r="L31" s="703"/>
      <c r="M31" s="703"/>
      <c r="N31" s="703"/>
      <c r="O31" s="704"/>
      <c r="P31" s="728" t="s">
        <v>899</v>
      </c>
      <c r="Q31" s="672"/>
      <c r="R31" s="672"/>
      <c r="S31" s="672"/>
      <c r="T31" s="673"/>
      <c r="U31" s="705" t="s">
        <v>915</v>
      </c>
      <c r="V31" s="705"/>
      <c r="W31" s="705"/>
      <c r="X31" s="705"/>
      <c r="Y31" s="705"/>
      <c r="Z31" s="705"/>
      <c r="AA31" s="705"/>
      <c r="AB31" s="705"/>
    </row>
    <row r="32" spans="1:28" s="69" customFormat="1" ht="90" x14ac:dyDescent="0.35">
      <c r="A32" s="769" t="s">
        <v>169</v>
      </c>
      <c r="B32" s="770"/>
      <c r="C32" s="44" t="s">
        <v>170</v>
      </c>
      <c r="D32" s="44" t="s">
        <v>29</v>
      </c>
      <c r="E32" s="44" t="s">
        <v>233</v>
      </c>
      <c r="F32" s="44" t="s">
        <v>234</v>
      </c>
      <c r="G32" s="44" t="s">
        <v>173</v>
      </c>
      <c r="H32" s="44" t="s">
        <v>552</v>
      </c>
      <c r="I32" s="391" t="s">
        <v>901</v>
      </c>
      <c r="J32" s="216" t="s">
        <v>919</v>
      </c>
      <c r="K32" s="173" t="s">
        <v>902</v>
      </c>
      <c r="L32" s="173" t="s">
        <v>1034</v>
      </c>
      <c r="M32" s="173" t="s">
        <v>904</v>
      </c>
      <c r="N32" s="173" t="s">
        <v>905</v>
      </c>
      <c r="O32" s="217" t="s">
        <v>906</v>
      </c>
      <c r="P32" s="399" t="s">
        <v>172</v>
      </c>
      <c r="Q32" s="144" t="s">
        <v>902</v>
      </c>
      <c r="R32" s="143" t="s">
        <v>1031</v>
      </c>
      <c r="S32" s="143" t="s">
        <v>904</v>
      </c>
      <c r="T32" s="168" t="s">
        <v>905</v>
      </c>
      <c r="U32" s="168" t="s">
        <v>907</v>
      </c>
      <c r="V32" s="168" t="s">
        <v>942</v>
      </c>
      <c r="W32" s="168" t="s">
        <v>911</v>
      </c>
      <c r="X32" s="172" t="s">
        <v>908</v>
      </c>
      <c r="Y32" s="172" t="s">
        <v>909</v>
      </c>
      <c r="Z32" s="172" t="s">
        <v>917</v>
      </c>
      <c r="AA32" s="172" t="s">
        <v>912</v>
      </c>
      <c r="AB32" s="144" t="s">
        <v>906</v>
      </c>
    </row>
    <row r="33" spans="1:28" s="69" customFormat="1" ht="18" x14ac:dyDescent="0.35">
      <c r="A33" s="767" t="s">
        <v>707</v>
      </c>
      <c r="B33" s="768"/>
      <c r="C33" s="388" t="s">
        <v>708</v>
      </c>
      <c r="D33" s="388" t="s">
        <v>706</v>
      </c>
      <c r="E33" s="311">
        <v>7.2</v>
      </c>
      <c r="F33" s="311">
        <v>2.6829999999999998</v>
      </c>
      <c r="G33" s="311">
        <f>E33-F33</f>
        <v>4.5170000000000003</v>
      </c>
      <c r="H33" s="97">
        <f>G33</f>
        <v>4.5170000000000003</v>
      </c>
      <c r="I33" s="392">
        <v>5.75</v>
      </c>
      <c r="J33" s="326">
        <f t="shared" ref="J33:J63" si="12">P33</f>
        <v>7.2</v>
      </c>
      <c r="K33" s="203">
        <f t="shared" ref="K33:K63" si="13">Q33</f>
        <v>2.6829999999999998</v>
      </c>
      <c r="L33" s="203">
        <f t="shared" ref="L33:L63" si="14">R33</f>
        <v>4.2402007069171139</v>
      </c>
      <c r="M33" s="203">
        <f t="shared" ref="M33:M63" si="15">S33</f>
        <v>4.5170000000000003</v>
      </c>
      <c r="N33" s="203">
        <f t="shared" ref="N33:N63" si="16">T33</f>
        <v>11.440200706917114</v>
      </c>
      <c r="O33" s="327">
        <f t="shared" ref="O33:O63" si="17">AB33</f>
        <v>7.2867878886970203</v>
      </c>
      <c r="P33" s="400">
        <f>E33</f>
        <v>7.2</v>
      </c>
      <c r="Q33" s="11">
        <f>F33</f>
        <v>2.6829999999999998</v>
      </c>
      <c r="R33" s="11">
        <f>I33*'Labor Adjustment'!$B$10</f>
        <v>4.2402007069171139</v>
      </c>
      <c r="S33" s="11">
        <f>P33-Q33</f>
        <v>4.5170000000000003</v>
      </c>
      <c r="T33" s="11">
        <f>P33+R33</f>
        <v>11.440200706917114</v>
      </c>
      <c r="U33" s="158">
        <v>0.05</v>
      </c>
      <c r="V33" s="159">
        <v>12</v>
      </c>
      <c r="W33" s="159">
        <f>V33/3</f>
        <v>4</v>
      </c>
      <c r="X33" s="139">
        <f>((1+U33)^W33-1)/(U33*(1+U33)^W33)</f>
        <v>3.5459505041623602</v>
      </c>
      <c r="Y33" s="139">
        <f>((1+U33)^V33-1)/(U33*(1+U33)^V33)</f>
        <v>8.8632516364488083</v>
      </c>
      <c r="Z33" s="139">
        <f>X33/Y33</f>
        <v>0.40007331954563541</v>
      </c>
      <c r="AA33" s="139">
        <f>(Q33+R33)*Z33</f>
        <v>2.7697878886970195</v>
      </c>
      <c r="AB33" s="139">
        <f>AA33+S33</f>
        <v>7.2867878886970203</v>
      </c>
    </row>
    <row r="34" spans="1:28" s="69" customFormat="1" ht="18" x14ac:dyDescent="0.35">
      <c r="A34" s="767" t="s">
        <v>709</v>
      </c>
      <c r="B34" s="768"/>
      <c r="C34" s="388" t="s">
        <v>710</v>
      </c>
      <c r="D34" s="388" t="s">
        <v>706</v>
      </c>
      <c r="E34" s="311">
        <v>10.3576</v>
      </c>
      <c r="F34" s="311">
        <v>2.6829999999999998</v>
      </c>
      <c r="G34" s="311">
        <f>E34-F34</f>
        <v>7.6745999999999999</v>
      </c>
      <c r="H34" s="97">
        <f t="shared" ref="H34:H63" si="18">G34</f>
        <v>7.6745999999999999</v>
      </c>
      <c r="I34" s="392">
        <v>5.75</v>
      </c>
      <c r="J34" s="326">
        <f t="shared" si="12"/>
        <v>10.3576</v>
      </c>
      <c r="K34" s="203">
        <f t="shared" si="13"/>
        <v>2.6829999999999998</v>
      </c>
      <c r="L34" s="203">
        <f t="shared" si="14"/>
        <v>4.2402007069171139</v>
      </c>
      <c r="M34" s="203">
        <f t="shared" si="15"/>
        <v>7.6745999999999999</v>
      </c>
      <c r="N34" s="203">
        <f t="shared" si="16"/>
        <v>14.597800706917113</v>
      </c>
      <c r="O34" s="327">
        <f t="shared" si="17"/>
        <v>10.444387888697019</v>
      </c>
      <c r="P34" s="400">
        <f t="shared" ref="P34:P63" si="19">E34</f>
        <v>10.3576</v>
      </c>
      <c r="Q34" s="11">
        <f t="shared" ref="Q34:Q63" si="20">F34</f>
        <v>2.6829999999999998</v>
      </c>
      <c r="R34" s="11">
        <f>I34*'Labor Adjustment'!$B$10</f>
        <v>4.2402007069171139</v>
      </c>
      <c r="S34" s="11">
        <f t="shared" ref="S34:S63" si="21">P34-Q34</f>
        <v>7.6745999999999999</v>
      </c>
      <c r="T34" s="11">
        <f t="shared" ref="T34:T63" si="22">P34+R34</f>
        <v>14.597800706917113</v>
      </c>
      <c r="U34" s="158">
        <v>0.05</v>
      </c>
      <c r="V34" s="159">
        <v>12</v>
      </c>
      <c r="W34" s="159">
        <f t="shared" ref="W34:W63" si="23">V34/3</f>
        <v>4</v>
      </c>
      <c r="X34" s="139">
        <f t="shared" ref="X34:X63" si="24">((1+U34)^W34-1)/(U34*(1+U34)^W34)</f>
        <v>3.5459505041623602</v>
      </c>
      <c r="Y34" s="139">
        <f t="shared" ref="Y34:Y63" si="25">((1+U34)^V34-1)/(U34*(1+U34)^V34)</f>
        <v>8.8632516364488083</v>
      </c>
      <c r="Z34" s="139">
        <f t="shared" ref="Z34:Z63" si="26">X34/Y34</f>
        <v>0.40007331954563541</v>
      </c>
      <c r="AA34" s="139">
        <f t="shared" ref="AA34:AA63" si="27">(Q34+R34)*Z34</f>
        <v>2.7697878886970195</v>
      </c>
      <c r="AB34" s="139">
        <f t="shared" ref="AB34:AB63" si="28">AA34+S34</f>
        <v>10.444387888697019</v>
      </c>
    </row>
    <row r="35" spans="1:28" s="69" customFormat="1" ht="18" x14ac:dyDescent="0.35">
      <c r="A35" s="767" t="s">
        <v>711</v>
      </c>
      <c r="B35" s="768"/>
      <c r="C35" s="388" t="s">
        <v>712</v>
      </c>
      <c r="D35" s="388" t="s">
        <v>706</v>
      </c>
      <c r="E35" s="389">
        <v>9.34</v>
      </c>
      <c r="F35" s="389">
        <v>2.6829999999999998</v>
      </c>
      <c r="G35" s="311">
        <f t="shared" ref="G35:G63" si="29">E35-F35</f>
        <v>6.657</v>
      </c>
      <c r="H35" s="97">
        <f t="shared" si="18"/>
        <v>6.657</v>
      </c>
      <c r="I35" s="392">
        <v>5.75</v>
      </c>
      <c r="J35" s="326">
        <f t="shared" si="12"/>
        <v>9.34</v>
      </c>
      <c r="K35" s="203">
        <f t="shared" si="13"/>
        <v>2.6829999999999998</v>
      </c>
      <c r="L35" s="203">
        <f t="shared" si="14"/>
        <v>4.2402007069171139</v>
      </c>
      <c r="M35" s="203">
        <f t="shared" si="15"/>
        <v>6.657</v>
      </c>
      <c r="N35" s="203">
        <f t="shared" si="16"/>
        <v>13.580200706917115</v>
      </c>
      <c r="O35" s="327">
        <f t="shared" si="17"/>
        <v>9.4267878886970191</v>
      </c>
      <c r="P35" s="400">
        <f t="shared" si="19"/>
        <v>9.34</v>
      </c>
      <c r="Q35" s="11">
        <f t="shared" si="20"/>
        <v>2.6829999999999998</v>
      </c>
      <c r="R35" s="11">
        <f>I35*'Labor Adjustment'!$B$10</f>
        <v>4.2402007069171139</v>
      </c>
      <c r="S35" s="11">
        <f t="shared" si="21"/>
        <v>6.657</v>
      </c>
      <c r="T35" s="11">
        <f t="shared" si="22"/>
        <v>13.580200706917115</v>
      </c>
      <c r="U35" s="158">
        <v>0.05</v>
      </c>
      <c r="V35" s="159">
        <v>12</v>
      </c>
      <c r="W35" s="159">
        <f t="shared" si="23"/>
        <v>4</v>
      </c>
      <c r="X35" s="139">
        <f t="shared" si="24"/>
        <v>3.5459505041623602</v>
      </c>
      <c r="Y35" s="139">
        <f t="shared" si="25"/>
        <v>8.8632516364488083</v>
      </c>
      <c r="Z35" s="139">
        <f t="shared" si="26"/>
        <v>0.40007331954563541</v>
      </c>
      <c r="AA35" s="139">
        <f t="shared" si="27"/>
        <v>2.7697878886970195</v>
      </c>
      <c r="AB35" s="139">
        <f t="shared" si="28"/>
        <v>9.4267878886970191</v>
      </c>
    </row>
    <row r="36" spans="1:28" s="69" customFormat="1" ht="18" x14ac:dyDescent="0.35">
      <c r="A36" s="767" t="s">
        <v>713</v>
      </c>
      <c r="B36" s="768"/>
      <c r="C36" s="388" t="s">
        <v>714</v>
      </c>
      <c r="D36" s="388" t="s">
        <v>706</v>
      </c>
      <c r="E36" s="389">
        <v>8.8849999999999998</v>
      </c>
      <c r="F36" s="389">
        <v>2.6829999999999998</v>
      </c>
      <c r="G36" s="311">
        <f t="shared" si="29"/>
        <v>6.202</v>
      </c>
      <c r="H36" s="97">
        <f t="shared" si="18"/>
        <v>6.202</v>
      </c>
      <c r="I36" s="392">
        <v>5.75</v>
      </c>
      <c r="J36" s="326">
        <f t="shared" si="12"/>
        <v>8.8849999999999998</v>
      </c>
      <c r="K36" s="203">
        <f t="shared" si="13"/>
        <v>2.6829999999999998</v>
      </c>
      <c r="L36" s="203">
        <f t="shared" si="14"/>
        <v>4.2402007069171139</v>
      </c>
      <c r="M36" s="203">
        <f t="shared" si="15"/>
        <v>6.202</v>
      </c>
      <c r="N36" s="203">
        <f t="shared" si="16"/>
        <v>13.125200706917113</v>
      </c>
      <c r="O36" s="327">
        <f t="shared" si="17"/>
        <v>8.971787888697019</v>
      </c>
      <c r="P36" s="400">
        <f t="shared" si="19"/>
        <v>8.8849999999999998</v>
      </c>
      <c r="Q36" s="11">
        <f t="shared" si="20"/>
        <v>2.6829999999999998</v>
      </c>
      <c r="R36" s="11">
        <f>I36*'Labor Adjustment'!$B$10</f>
        <v>4.2402007069171139</v>
      </c>
      <c r="S36" s="11">
        <f t="shared" si="21"/>
        <v>6.202</v>
      </c>
      <c r="T36" s="11">
        <f t="shared" si="22"/>
        <v>13.125200706917113</v>
      </c>
      <c r="U36" s="158">
        <v>0.05</v>
      </c>
      <c r="V36" s="159">
        <v>12</v>
      </c>
      <c r="W36" s="159">
        <f t="shared" si="23"/>
        <v>4</v>
      </c>
      <c r="X36" s="139">
        <f t="shared" si="24"/>
        <v>3.5459505041623602</v>
      </c>
      <c r="Y36" s="139">
        <f t="shared" si="25"/>
        <v>8.8632516364488083</v>
      </c>
      <c r="Z36" s="139">
        <f t="shared" si="26"/>
        <v>0.40007331954563541</v>
      </c>
      <c r="AA36" s="139">
        <f t="shared" si="27"/>
        <v>2.7697878886970195</v>
      </c>
      <c r="AB36" s="139">
        <f t="shared" si="28"/>
        <v>8.971787888697019</v>
      </c>
    </row>
    <row r="37" spans="1:28" s="69" customFormat="1" ht="18" x14ac:dyDescent="0.35">
      <c r="A37" s="767" t="s">
        <v>715</v>
      </c>
      <c r="B37" s="768"/>
      <c r="C37" s="388" t="s">
        <v>716</v>
      </c>
      <c r="D37" s="388" t="s">
        <v>706</v>
      </c>
      <c r="E37" s="389">
        <v>6.97</v>
      </c>
      <c r="F37" s="389">
        <v>2.6829999999999998</v>
      </c>
      <c r="G37" s="311">
        <f t="shared" si="29"/>
        <v>4.2869999999999999</v>
      </c>
      <c r="H37" s="97">
        <f t="shared" si="18"/>
        <v>4.2869999999999999</v>
      </c>
      <c r="I37" s="392">
        <v>5.75</v>
      </c>
      <c r="J37" s="326">
        <f t="shared" si="12"/>
        <v>6.97</v>
      </c>
      <c r="K37" s="203">
        <f t="shared" si="13"/>
        <v>2.6829999999999998</v>
      </c>
      <c r="L37" s="203">
        <f t="shared" si="14"/>
        <v>4.2402007069171139</v>
      </c>
      <c r="M37" s="203">
        <f t="shared" si="15"/>
        <v>4.2869999999999999</v>
      </c>
      <c r="N37" s="203">
        <f t="shared" si="16"/>
        <v>11.210200706917114</v>
      </c>
      <c r="O37" s="327">
        <f t="shared" si="17"/>
        <v>7.0567878886970199</v>
      </c>
      <c r="P37" s="400">
        <f t="shared" si="19"/>
        <v>6.97</v>
      </c>
      <c r="Q37" s="11">
        <f t="shared" si="20"/>
        <v>2.6829999999999998</v>
      </c>
      <c r="R37" s="11">
        <f>I37*'Labor Adjustment'!$B$10</f>
        <v>4.2402007069171139</v>
      </c>
      <c r="S37" s="11">
        <f t="shared" si="21"/>
        <v>4.2869999999999999</v>
      </c>
      <c r="T37" s="11">
        <f t="shared" si="22"/>
        <v>11.210200706917114</v>
      </c>
      <c r="U37" s="158">
        <v>0.05</v>
      </c>
      <c r="V37" s="159">
        <v>12</v>
      </c>
      <c r="W37" s="159">
        <f t="shared" si="23"/>
        <v>4</v>
      </c>
      <c r="X37" s="139">
        <f t="shared" si="24"/>
        <v>3.5459505041623602</v>
      </c>
      <c r="Y37" s="139">
        <f t="shared" si="25"/>
        <v>8.8632516364488083</v>
      </c>
      <c r="Z37" s="139">
        <f t="shared" si="26"/>
        <v>0.40007331954563541</v>
      </c>
      <c r="AA37" s="139">
        <f t="shared" si="27"/>
        <v>2.7697878886970195</v>
      </c>
      <c r="AB37" s="139">
        <f t="shared" si="28"/>
        <v>7.0567878886970199</v>
      </c>
    </row>
    <row r="38" spans="1:28" s="69" customFormat="1" ht="18" x14ac:dyDescent="0.35">
      <c r="A38" s="767" t="s">
        <v>717</v>
      </c>
      <c r="B38" s="768"/>
      <c r="C38" s="388" t="s">
        <v>718</v>
      </c>
      <c r="D38" s="388" t="s">
        <v>706</v>
      </c>
      <c r="E38" s="389">
        <v>6.97</v>
      </c>
      <c r="F38" s="389">
        <v>2.6829999999999998</v>
      </c>
      <c r="G38" s="311">
        <f t="shared" si="29"/>
        <v>4.2869999999999999</v>
      </c>
      <c r="H38" s="97">
        <f t="shared" si="18"/>
        <v>4.2869999999999999</v>
      </c>
      <c r="I38" s="392">
        <v>5.75</v>
      </c>
      <c r="J38" s="326">
        <f t="shared" si="12"/>
        <v>6.97</v>
      </c>
      <c r="K38" s="203">
        <f t="shared" si="13"/>
        <v>2.6829999999999998</v>
      </c>
      <c r="L38" s="203">
        <f t="shared" si="14"/>
        <v>4.2402007069171139</v>
      </c>
      <c r="M38" s="203">
        <f t="shared" si="15"/>
        <v>4.2869999999999999</v>
      </c>
      <c r="N38" s="203">
        <f t="shared" si="16"/>
        <v>11.210200706917114</v>
      </c>
      <c r="O38" s="327">
        <f t="shared" si="17"/>
        <v>7.0567878886970199</v>
      </c>
      <c r="P38" s="400">
        <f t="shared" si="19"/>
        <v>6.97</v>
      </c>
      <c r="Q38" s="11">
        <f t="shared" si="20"/>
        <v>2.6829999999999998</v>
      </c>
      <c r="R38" s="11">
        <f>I38*'Labor Adjustment'!$B$10</f>
        <v>4.2402007069171139</v>
      </c>
      <c r="S38" s="11">
        <f t="shared" si="21"/>
        <v>4.2869999999999999</v>
      </c>
      <c r="T38" s="11">
        <f t="shared" si="22"/>
        <v>11.210200706917114</v>
      </c>
      <c r="U38" s="158">
        <v>0.05</v>
      </c>
      <c r="V38" s="159">
        <v>12</v>
      </c>
      <c r="W38" s="159">
        <f t="shared" si="23"/>
        <v>4</v>
      </c>
      <c r="X38" s="139">
        <f t="shared" si="24"/>
        <v>3.5459505041623602</v>
      </c>
      <c r="Y38" s="139">
        <f t="shared" si="25"/>
        <v>8.8632516364488083</v>
      </c>
      <c r="Z38" s="139">
        <f t="shared" si="26"/>
        <v>0.40007331954563541</v>
      </c>
      <c r="AA38" s="139">
        <f t="shared" si="27"/>
        <v>2.7697878886970195</v>
      </c>
      <c r="AB38" s="139">
        <f t="shared" si="28"/>
        <v>7.0567878886970199</v>
      </c>
    </row>
    <row r="39" spans="1:28" s="69" customFormat="1" ht="18" x14ac:dyDescent="0.35">
      <c r="A39" s="767" t="s">
        <v>719</v>
      </c>
      <c r="B39" s="768"/>
      <c r="C39" s="388" t="s">
        <v>720</v>
      </c>
      <c r="D39" s="388" t="s">
        <v>706</v>
      </c>
      <c r="E39" s="389">
        <v>6.89</v>
      </c>
      <c r="F39" s="389">
        <v>2.5259999999999998</v>
      </c>
      <c r="G39" s="311">
        <f t="shared" si="29"/>
        <v>4.3639999999999999</v>
      </c>
      <c r="H39" s="97">
        <f t="shared" si="18"/>
        <v>4.3639999999999999</v>
      </c>
      <c r="I39" s="392">
        <v>5.75</v>
      </c>
      <c r="J39" s="326">
        <f t="shared" si="12"/>
        <v>6.89</v>
      </c>
      <c r="K39" s="203">
        <f t="shared" si="13"/>
        <v>2.5259999999999998</v>
      </c>
      <c r="L39" s="203">
        <f t="shared" si="14"/>
        <v>4.2402007069171139</v>
      </c>
      <c r="M39" s="203">
        <f t="shared" si="15"/>
        <v>4.3639999999999999</v>
      </c>
      <c r="N39" s="203">
        <f t="shared" si="16"/>
        <v>11.130200706917114</v>
      </c>
      <c r="O39" s="327">
        <f t="shared" si="17"/>
        <v>7.0709763775283552</v>
      </c>
      <c r="P39" s="400">
        <f t="shared" si="19"/>
        <v>6.89</v>
      </c>
      <c r="Q39" s="11">
        <f t="shared" si="20"/>
        <v>2.5259999999999998</v>
      </c>
      <c r="R39" s="11">
        <f>I39*'Labor Adjustment'!$B$10</f>
        <v>4.2402007069171139</v>
      </c>
      <c r="S39" s="11">
        <f t="shared" si="21"/>
        <v>4.3639999999999999</v>
      </c>
      <c r="T39" s="11">
        <f t="shared" si="22"/>
        <v>11.130200706917114</v>
      </c>
      <c r="U39" s="158">
        <v>0.05</v>
      </c>
      <c r="V39" s="159">
        <v>12</v>
      </c>
      <c r="W39" s="159">
        <f t="shared" si="23"/>
        <v>4</v>
      </c>
      <c r="X39" s="139">
        <f t="shared" si="24"/>
        <v>3.5459505041623602</v>
      </c>
      <c r="Y39" s="139">
        <f t="shared" si="25"/>
        <v>8.8632516364488083</v>
      </c>
      <c r="Z39" s="139">
        <f t="shared" si="26"/>
        <v>0.40007331954563541</v>
      </c>
      <c r="AA39" s="139">
        <f t="shared" si="27"/>
        <v>2.7069763775283548</v>
      </c>
      <c r="AB39" s="139">
        <f t="shared" si="28"/>
        <v>7.0709763775283552</v>
      </c>
    </row>
    <row r="40" spans="1:28" s="69" customFormat="1" ht="18" x14ac:dyDescent="0.35">
      <c r="A40" s="767" t="s">
        <v>721</v>
      </c>
      <c r="B40" s="768"/>
      <c r="C40" s="388" t="s">
        <v>722</v>
      </c>
      <c r="D40" s="388" t="s">
        <v>706</v>
      </c>
      <c r="E40" s="389">
        <v>7.61</v>
      </c>
      <c r="F40" s="389">
        <v>2.5259999999999998</v>
      </c>
      <c r="G40" s="311">
        <f t="shared" si="29"/>
        <v>5.0840000000000005</v>
      </c>
      <c r="H40" s="97">
        <f t="shared" si="18"/>
        <v>5.0840000000000005</v>
      </c>
      <c r="I40" s="392">
        <v>5.75</v>
      </c>
      <c r="J40" s="326">
        <f t="shared" si="12"/>
        <v>7.61</v>
      </c>
      <c r="K40" s="203">
        <f t="shared" si="13"/>
        <v>2.5259999999999998</v>
      </c>
      <c r="L40" s="203">
        <f t="shared" si="14"/>
        <v>4.2402007069171139</v>
      </c>
      <c r="M40" s="203">
        <f t="shared" si="15"/>
        <v>5.0840000000000005</v>
      </c>
      <c r="N40" s="203">
        <f t="shared" si="16"/>
        <v>11.850200706917114</v>
      </c>
      <c r="O40" s="327">
        <f t="shared" si="17"/>
        <v>7.7909763775283558</v>
      </c>
      <c r="P40" s="400">
        <f t="shared" si="19"/>
        <v>7.61</v>
      </c>
      <c r="Q40" s="11">
        <f t="shared" si="20"/>
        <v>2.5259999999999998</v>
      </c>
      <c r="R40" s="11">
        <f>I40*'Labor Adjustment'!$B$10</f>
        <v>4.2402007069171139</v>
      </c>
      <c r="S40" s="11">
        <f t="shared" si="21"/>
        <v>5.0840000000000005</v>
      </c>
      <c r="T40" s="11">
        <f t="shared" si="22"/>
        <v>11.850200706917114</v>
      </c>
      <c r="U40" s="158">
        <v>0.05</v>
      </c>
      <c r="V40" s="159">
        <v>12</v>
      </c>
      <c r="W40" s="159">
        <f t="shared" si="23"/>
        <v>4</v>
      </c>
      <c r="X40" s="139">
        <f t="shared" si="24"/>
        <v>3.5459505041623602</v>
      </c>
      <c r="Y40" s="139">
        <f t="shared" si="25"/>
        <v>8.8632516364488083</v>
      </c>
      <c r="Z40" s="139">
        <f t="shared" si="26"/>
        <v>0.40007331954563541</v>
      </c>
      <c r="AA40" s="139">
        <f t="shared" si="27"/>
        <v>2.7069763775283548</v>
      </c>
      <c r="AB40" s="139">
        <f t="shared" si="28"/>
        <v>7.7909763775283558</v>
      </c>
    </row>
    <row r="41" spans="1:28" s="69" customFormat="1" ht="18" x14ac:dyDescent="0.35">
      <c r="A41" s="767" t="s">
        <v>723</v>
      </c>
      <c r="B41" s="768"/>
      <c r="C41" s="388" t="s">
        <v>724</v>
      </c>
      <c r="D41" s="388" t="s">
        <v>706</v>
      </c>
      <c r="E41" s="389">
        <v>10.132</v>
      </c>
      <c r="F41" s="389">
        <v>2.5259999999999998</v>
      </c>
      <c r="G41" s="311">
        <f t="shared" si="29"/>
        <v>7.6059999999999999</v>
      </c>
      <c r="H41" s="97">
        <f t="shared" si="18"/>
        <v>7.6059999999999999</v>
      </c>
      <c r="I41" s="392">
        <v>5.75</v>
      </c>
      <c r="J41" s="326">
        <f t="shared" si="12"/>
        <v>10.132</v>
      </c>
      <c r="K41" s="203">
        <f t="shared" si="13"/>
        <v>2.5259999999999998</v>
      </c>
      <c r="L41" s="203">
        <f t="shared" si="14"/>
        <v>4.2402007069171139</v>
      </c>
      <c r="M41" s="203">
        <f t="shared" si="15"/>
        <v>7.6059999999999999</v>
      </c>
      <c r="N41" s="203">
        <f t="shared" si="16"/>
        <v>14.372200706917113</v>
      </c>
      <c r="O41" s="327">
        <f t="shared" si="17"/>
        <v>10.312976377528354</v>
      </c>
      <c r="P41" s="400">
        <f t="shared" si="19"/>
        <v>10.132</v>
      </c>
      <c r="Q41" s="11">
        <f t="shared" si="20"/>
        <v>2.5259999999999998</v>
      </c>
      <c r="R41" s="11">
        <f>I41*'Labor Adjustment'!$B$10</f>
        <v>4.2402007069171139</v>
      </c>
      <c r="S41" s="11">
        <f t="shared" si="21"/>
        <v>7.6059999999999999</v>
      </c>
      <c r="T41" s="11">
        <f t="shared" si="22"/>
        <v>14.372200706917113</v>
      </c>
      <c r="U41" s="158">
        <v>0.05</v>
      </c>
      <c r="V41" s="159">
        <v>12</v>
      </c>
      <c r="W41" s="159">
        <f t="shared" si="23"/>
        <v>4</v>
      </c>
      <c r="X41" s="139">
        <f t="shared" si="24"/>
        <v>3.5459505041623602</v>
      </c>
      <c r="Y41" s="139">
        <f t="shared" si="25"/>
        <v>8.8632516364488083</v>
      </c>
      <c r="Z41" s="139">
        <f t="shared" si="26"/>
        <v>0.40007331954563541</v>
      </c>
      <c r="AA41" s="139">
        <f t="shared" si="27"/>
        <v>2.7069763775283548</v>
      </c>
      <c r="AB41" s="139">
        <f t="shared" si="28"/>
        <v>10.312976377528354</v>
      </c>
    </row>
    <row r="42" spans="1:28" s="69" customFormat="1" ht="18" x14ac:dyDescent="0.35">
      <c r="A42" s="767" t="s">
        <v>725</v>
      </c>
      <c r="B42" s="768"/>
      <c r="C42" s="388" t="s">
        <v>726</v>
      </c>
      <c r="D42" s="388" t="s">
        <v>706</v>
      </c>
      <c r="E42" s="389">
        <v>10.794</v>
      </c>
      <c r="F42" s="389">
        <v>2.5259999999999998</v>
      </c>
      <c r="G42" s="311">
        <f t="shared" si="29"/>
        <v>8.2680000000000007</v>
      </c>
      <c r="H42" s="97">
        <f t="shared" si="18"/>
        <v>8.2680000000000007</v>
      </c>
      <c r="I42" s="392">
        <v>5.75</v>
      </c>
      <c r="J42" s="326">
        <f t="shared" si="12"/>
        <v>10.794</v>
      </c>
      <c r="K42" s="203">
        <f t="shared" si="13"/>
        <v>2.5259999999999998</v>
      </c>
      <c r="L42" s="203">
        <f t="shared" si="14"/>
        <v>4.2402007069171139</v>
      </c>
      <c r="M42" s="203">
        <f t="shared" si="15"/>
        <v>8.2680000000000007</v>
      </c>
      <c r="N42" s="203">
        <f t="shared" si="16"/>
        <v>15.034200706917115</v>
      </c>
      <c r="O42" s="327">
        <f t="shared" si="17"/>
        <v>10.974976377528355</v>
      </c>
      <c r="P42" s="400">
        <f t="shared" si="19"/>
        <v>10.794</v>
      </c>
      <c r="Q42" s="11">
        <f t="shared" si="20"/>
        <v>2.5259999999999998</v>
      </c>
      <c r="R42" s="11">
        <f>I42*'Labor Adjustment'!$B$10</f>
        <v>4.2402007069171139</v>
      </c>
      <c r="S42" s="11">
        <f t="shared" si="21"/>
        <v>8.2680000000000007</v>
      </c>
      <c r="T42" s="11">
        <f t="shared" si="22"/>
        <v>15.034200706917115</v>
      </c>
      <c r="U42" s="158">
        <v>0.05</v>
      </c>
      <c r="V42" s="159">
        <v>12</v>
      </c>
      <c r="W42" s="159">
        <f t="shared" si="23"/>
        <v>4</v>
      </c>
      <c r="X42" s="139">
        <f t="shared" si="24"/>
        <v>3.5459505041623602</v>
      </c>
      <c r="Y42" s="139">
        <f t="shared" si="25"/>
        <v>8.8632516364488083</v>
      </c>
      <c r="Z42" s="139">
        <f t="shared" si="26"/>
        <v>0.40007331954563541</v>
      </c>
      <c r="AA42" s="139">
        <f t="shared" si="27"/>
        <v>2.7069763775283548</v>
      </c>
      <c r="AB42" s="139">
        <f t="shared" si="28"/>
        <v>10.974976377528355</v>
      </c>
    </row>
    <row r="43" spans="1:28" s="69" customFormat="1" ht="18" x14ac:dyDescent="0.35">
      <c r="A43" s="767" t="s">
        <v>727</v>
      </c>
      <c r="B43" s="768"/>
      <c r="C43" s="388" t="s">
        <v>728</v>
      </c>
      <c r="D43" s="388" t="s">
        <v>706</v>
      </c>
      <c r="E43" s="389">
        <v>11.48</v>
      </c>
      <c r="F43" s="389">
        <v>2.5259999999999998</v>
      </c>
      <c r="G43" s="311">
        <f t="shared" si="29"/>
        <v>8.9540000000000006</v>
      </c>
      <c r="H43" s="97">
        <f t="shared" si="18"/>
        <v>8.9540000000000006</v>
      </c>
      <c r="I43" s="392">
        <v>5.75</v>
      </c>
      <c r="J43" s="326">
        <f t="shared" si="12"/>
        <v>11.48</v>
      </c>
      <c r="K43" s="203">
        <f t="shared" si="13"/>
        <v>2.5259999999999998</v>
      </c>
      <c r="L43" s="203">
        <f t="shared" si="14"/>
        <v>4.2402007069171139</v>
      </c>
      <c r="M43" s="203">
        <f t="shared" si="15"/>
        <v>8.9540000000000006</v>
      </c>
      <c r="N43" s="203">
        <f t="shared" si="16"/>
        <v>15.720200706917115</v>
      </c>
      <c r="O43" s="327">
        <f t="shared" si="17"/>
        <v>11.660976377528355</v>
      </c>
      <c r="P43" s="400">
        <f t="shared" si="19"/>
        <v>11.48</v>
      </c>
      <c r="Q43" s="11">
        <f t="shared" si="20"/>
        <v>2.5259999999999998</v>
      </c>
      <c r="R43" s="11">
        <f>I43*'Labor Adjustment'!$B$10</f>
        <v>4.2402007069171139</v>
      </c>
      <c r="S43" s="11">
        <f t="shared" si="21"/>
        <v>8.9540000000000006</v>
      </c>
      <c r="T43" s="11">
        <f t="shared" si="22"/>
        <v>15.720200706917115</v>
      </c>
      <c r="U43" s="158">
        <v>0.05</v>
      </c>
      <c r="V43" s="159">
        <v>12</v>
      </c>
      <c r="W43" s="159">
        <f t="shared" si="23"/>
        <v>4</v>
      </c>
      <c r="X43" s="139">
        <f t="shared" si="24"/>
        <v>3.5459505041623602</v>
      </c>
      <c r="Y43" s="139">
        <f t="shared" si="25"/>
        <v>8.8632516364488083</v>
      </c>
      <c r="Z43" s="139">
        <f t="shared" si="26"/>
        <v>0.40007331954563541</v>
      </c>
      <c r="AA43" s="139">
        <f t="shared" si="27"/>
        <v>2.7069763775283548</v>
      </c>
      <c r="AB43" s="139">
        <f t="shared" si="28"/>
        <v>11.660976377528355</v>
      </c>
    </row>
    <row r="44" spans="1:28" s="69" customFormat="1" ht="18" x14ac:dyDescent="0.35">
      <c r="A44" s="767" t="s">
        <v>729</v>
      </c>
      <c r="B44" s="768"/>
      <c r="C44" s="388" t="s">
        <v>730</v>
      </c>
      <c r="D44" s="388" t="s">
        <v>706</v>
      </c>
      <c r="E44" s="389">
        <v>16.332999999999998</v>
      </c>
      <c r="F44" s="389">
        <v>2.5259999999999998</v>
      </c>
      <c r="G44" s="311">
        <f t="shared" si="29"/>
        <v>13.806999999999999</v>
      </c>
      <c r="H44" s="97">
        <f t="shared" si="18"/>
        <v>13.806999999999999</v>
      </c>
      <c r="I44" s="392">
        <v>5.75</v>
      </c>
      <c r="J44" s="326">
        <f t="shared" si="12"/>
        <v>16.332999999999998</v>
      </c>
      <c r="K44" s="203">
        <f t="shared" si="13"/>
        <v>2.5259999999999998</v>
      </c>
      <c r="L44" s="203">
        <f t="shared" si="14"/>
        <v>4.2402007069171139</v>
      </c>
      <c r="M44" s="203">
        <f t="shared" si="15"/>
        <v>13.806999999999999</v>
      </c>
      <c r="N44" s="203">
        <f t="shared" si="16"/>
        <v>20.573200706917113</v>
      </c>
      <c r="O44" s="327">
        <f t="shared" si="17"/>
        <v>16.513976377528355</v>
      </c>
      <c r="P44" s="400">
        <f t="shared" si="19"/>
        <v>16.332999999999998</v>
      </c>
      <c r="Q44" s="11">
        <f t="shared" si="20"/>
        <v>2.5259999999999998</v>
      </c>
      <c r="R44" s="11">
        <f>I44*'Labor Adjustment'!$B$10</f>
        <v>4.2402007069171139</v>
      </c>
      <c r="S44" s="11">
        <f t="shared" si="21"/>
        <v>13.806999999999999</v>
      </c>
      <c r="T44" s="11">
        <f t="shared" si="22"/>
        <v>20.573200706917113</v>
      </c>
      <c r="U44" s="158">
        <v>0.05</v>
      </c>
      <c r="V44" s="159">
        <v>12</v>
      </c>
      <c r="W44" s="159">
        <f t="shared" si="23"/>
        <v>4</v>
      </c>
      <c r="X44" s="139">
        <f t="shared" si="24"/>
        <v>3.5459505041623602</v>
      </c>
      <c r="Y44" s="139">
        <f t="shared" si="25"/>
        <v>8.8632516364488083</v>
      </c>
      <c r="Z44" s="139">
        <f t="shared" si="26"/>
        <v>0.40007331954563541</v>
      </c>
      <c r="AA44" s="139">
        <f t="shared" si="27"/>
        <v>2.7069763775283548</v>
      </c>
      <c r="AB44" s="139">
        <f t="shared" si="28"/>
        <v>16.513976377528355</v>
      </c>
    </row>
    <row r="45" spans="1:28" s="69" customFormat="1" ht="18" x14ac:dyDescent="0.35">
      <c r="A45" s="767" t="s">
        <v>731</v>
      </c>
      <c r="B45" s="768"/>
      <c r="C45" s="388" t="s">
        <v>732</v>
      </c>
      <c r="D45" s="388" t="s">
        <v>706</v>
      </c>
      <c r="E45" s="389">
        <v>14.99</v>
      </c>
      <c r="F45" s="389">
        <v>2.5259999999999998</v>
      </c>
      <c r="G45" s="311">
        <f t="shared" si="29"/>
        <v>12.464</v>
      </c>
      <c r="H45" s="97">
        <f t="shared" si="18"/>
        <v>12.464</v>
      </c>
      <c r="I45" s="392">
        <v>5.75</v>
      </c>
      <c r="J45" s="326">
        <f t="shared" si="12"/>
        <v>14.99</v>
      </c>
      <c r="K45" s="203">
        <f t="shared" si="13"/>
        <v>2.5259999999999998</v>
      </c>
      <c r="L45" s="203">
        <f t="shared" si="14"/>
        <v>4.2402007069171139</v>
      </c>
      <c r="M45" s="203">
        <f t="shared" si="15"/>
        <v>12.464</v>
      </c>
      <c r="N45" s="203">
        <f t="shared" si="16"/>
        <v>19.230200706917113</v>
      </c>
      <c r="O45" s="327">
        <f t="shared" si="17"/>
        <v>15.170976377528355</v>
      </c>
      <c r="P45" s="400">
        <f t="shared" si="19"/>
        <v>14.99</v>
      </c>
      <c r="Q45" s="11">
        <f t="shared" si="20"/>
        <v>2.5259999999999998</v>
      </c>
      <c r="R45" s="11">
        <f>I45*'Labor Adjustment'!$B$10</f>
        <v>4.2402007069171139</v>
      </c>
      <c r="S45" s="11">
        <f t="shared" si="21"/>
        <v>12.464</v>
      </c>
      <c r="T45" s="11">
        <f t="shared" si="22"/>
        <v>19.230200706917113</v>
      </c>
      <c r="U45" s="158">
        <v>0.05</v>
      </c>
      <c r="V45" s="159">
        <v>12</v>
      </c>
      <c r="W45" s="159">
        <f t="shared" si="23"/>
        <v>4</v>
      </c>
      <c r="X45" s="139">
        <f t="shared" si="24"/>
        <v>3.5459505041623602</v>
      </c>
      <c r="Y45" s="139">
        <f t="shared" si="25"/>
        <v>8.8632516364488083</v>
      </c>
      <c r="Z45" s="139">
        <f t="shared" si="26"/>
        <v>0.40007331954563541</v>
      </c>
      <c r="AA45" s="139">
        <f t="shared" si="27"/>
        <v>2.7069763775283548</v>
      </c>
      <c r="AB45" s="139">
        <f t="shared" si="28"/>
        <v>15.170976377528355</v>
      </c>
    </row>
    <row r="46" spans="1:28" s="69" customFormat="1" ht="18" x14ac:dyDescent="0.35">
      <c r="A46" s="767" t="s">
        <v>733</v>
      </c>
      <c r="B46" s="768"/>
      <c r="C46" s="388" t="s">
        <v>734</v>
      </c>
      <c r="D46" s="388" t="s">
        <v>706</v>
      </c>
      <c r="E46" s="389">
        <v>19.100000000000001</v>
      </c>
      <c r="F46" s="389">
        <v>2.5259999999999998</v>
      </c>
      <c r="G46" s="311">
        <f t="shared" si="29"/>
        <v>16.574000000000002</v>
      </c>
      <c r="H46" s="97">
        <f t="shared" si="18"/>
        <v>16.574000000000002</v>
      </c>
      <c r="I46" s="392">
        <v>5.75</v>
      </c>
      <c r="J46" s="326">
        <f t="shared" si="12"/>
        <v>19.100000000000001</v>
      </c>
      <c r="K46" s="203">
        <f t="shared" si="13"/>
        <v>2.5259999999999998</v>
      </c>
      <c r="L46" s="203">
        <f t="shared" si="14"/>
        <v>4.2402007069171139</v>
      </c>
      <c r="M46" s="203">
        <f t="shared" si="15"/>
        <v>16.574000000000002</v>
      </c>
      <c r="N46" s="203">
        <f t="shared" si="16"/>
        <v>23.340200706917116</v>
      </c>
      <c r="O46" s="327">
        <f t="shared" si="17"/>
        <v>19.280976377528358</v>
      </c>
      <c r="P46" s="400">
        <f t="shared" si="19"/>
        <v>19.100000000000001</v>
      </c>
      <c r="Q46" s="11">
        <f t="shared" si="20"/>
        <v>2.5259999999999998</v>
      </c>
      <c r="R46" s="11">
        <f>I46*'Labor Adjustment'!$B$10</f>
        <v>4.2402007069171139</v>
      </c>
      <c r="S46" s="11">
        <f t="shared" si="21"/>
        <v>16.574000000000002</v>
      </c>
      <c r="T46" s="11">
        <f t="shared" si="22"/>
        <v>23.340200706917116</v>
      </c>
      <c r="U46" s="158">
        <v>0.05</v>
      </c>
      <c r="V46" s="159">
        <v>12</v>
      </c>
      <c r="W46" s="159">
        <f t="shared" si="23"/>
        <v>4</v>
      </c>
      <c r="X46" s="139">
        <f t="shared" si="24"/>
        <v>3.5459505041623602</v>
      </c>
      <c r="Y46" s="139">
        <f t="shared" si="25"/>
        <v>8.8632516364488083</v>
      </c>
      <c r="Z46" s="139">
        <f t="shared" si="26"/>
        <v>0.40007331954563541</v>
      </c>
      <c r="AA46" s="139">
        <f t="shared" si="27"/>
        <v>2.7069763775283548</v>
      </c>
      <c r="AB46" s="139">
        <f t="shared" si="28"/>
        <v>19.280976377528358</v>
      </c>
    </row>
    <row r="47" spans="1:28" s="69" customFormat="1" ht="18" x14ac:dyDescent="0.35">
      <c r="A47" s="767" t="s">
        <v>735</v>
      </c>
      <c r="B47" s="768"/>
      <c r="C47" s="388" t="s">
        <v>736</v>
      </c>
      <c r="D47" s="388" t="s">
        <v>706</v>
      </c>
      <c r="E47" s="389">
        <v>7.5</v>
      </c>
      <c r="F47" s="389">
        <v>2.5259999999999998</v>
      </c>
      <c r="G47" s="311">
        <f t="shared" si="29"/>
        <v>4.9740000000000002</v>
      </c>
      <c r="H47" s="97">
        <f t="shared" si="18"/>
        <v>4.9740000000000002</v>
      </c>
      <c r="I47" s="392">
        <v>5.75</v>
      </c>
      <c r="J47" s="326">
        <f t="shared" si="12"/>
        <v>7.5</v>
      </c>
      <c r="K47" s="203">
        <f t="shared" si="13"/>
        <v>2.5259999999999998</v>
      </c>
      <c r="L47" s="203">
        <f t="shared" si="14"/>
        <v>4.2402007069171139</v>
      </c>
      <c r="M47" s="203">
        <f t="shared" si="15"/>
        <v>4.9740000000000002</v>
      </c>
      <c r="N47" s="203">
        <f t="shared" si="16"/>
        <v>11.740200706917115</v>
      </c>
      <c r="O47" s="327">
        <f t="shared" si="17"/>
        <v>7.6809763775283546</v>
      </c>
      <c r="P47" s="400">
        <f t="shared" si="19"/>
        <v>7.5</v>
      </c>
      <c r="Q47" s="11">
        <f t="shared" si="20"/>
        <v>2.5259999999999998</v>
      </c>
      <c r="R47" s="11">
        <f>I47*'Labor Adjustment'!$B$10</f>
        <v>4.2402007069171139</v>
      </c>
      <c r="S47" s="11">
        <f t="shared" si="21"/>
        <v>4.9740000000000002</v>
      </c>
      <c r="T47" s="11">
        <f t="shared" si="22"/>
        <v>11.740200706917115</v>
      </c>
      <c r="U47" s="158">
        <v>0.05</v>
      </c>
      <c r="V47" s="159">
        <v>12</v>
      </c>
      <c r="W47" s="159">
        <f t="shared" si="23"/>
        <v>4</v>
      </c>
      <c r="X47" s="139">
        <f t="shared" si="24"/>
        <v>3.5459505041623602</v>
      </c>
      <c r="Y47" s="139">
        <f t="shared" si="25"/>
        <v>8.8632516364488083</v>
      </c>
      <c r="Z47" s="139">
        <f t="shared" si="26"/>
        <v>0.40007331954563541</v>
      </c>
      <c r="AA47" s="139">
        <f t="shared" si="27"/>
        <v>2.7069763775283548</v>
      </c>
      <c r="AB47" s="139">
        <f t="shared" si="28"/>
        <v>7.6809763775283546</v>
      </c>
    </row>
    <row r="48" spans="1:28" s="69" customFormat="1" ht="18" x14ac:dyDescent="0.35">
      <c r="A48" s="767" t="s">
        <v>737</v>
      </c>
      <c r="B48" s="768"/>
      <c r="C48" s="388" t="s">
        <v>738</v>
      </c>
      <c r="D48" s="388" t="s">
        <v>706</v>
      </c>
      <c r="E48" s="389">
        <v>11.97</v>
      </c>
      <c r="F48" s="389">
        <v>3.2829999999999999</v>
      </c>
      <c r="G48" s="311">
        <f t="shared" si="29"/>
        <v>8.6870000000000012</v>
      </c>
      <c r="H48" s="97">
        <f t="shared" si="18"/>
        <v>8.6870000000000012</v>
      </c>
      <c r="I48" s="392">
        <v>5.75</v>
      </c>
      <c r="J48" s="326">
        <f t="shared" si="12"/>
        <v>11.97</v>
      </c>
      <c r="K48" s="203">
        <f t="shared" si="13"/>
        <v>3.2829999999999999</v>
      </c>
      <c r="L48" s="203">
        <f t="shared" si="14"/>
        <v>4.2402007069171139</v>
      </c>
      <c r="M48" s="203">
        <f t="shared" si="15"/>
        <v>8.6870000000000012</v>
      </c>
      <c r="N48" s="203">
        <f t="shared" si="16"/>
        <v>16.210200706917114</v>
      </c>
      <c r="O48" s="327">
        <f t="shared" si="17"/>
        <v>11.696831880424401</v>
      </c>
      <c r="P48" s="400">
        <f t="shared" si="19"/>
        <v>11.97</v>
      </c>
      <c r="Q48" s="11">
        <f t="shared" si="20"/>
        <v>3.2829999999999999</v>
      </c>
      <c r="R48" s="11">
        <f>I48*'Labor Adjustment'!$B$10</f>
        <v>4.2402007069171139</v>
      </c>
      <c r="S48" s="11">
        <f t="shared" si="21"/>
        <v>8.6870000000000012</v>
      </c>
      <c r="T48" s="11">
        <f t="shared" si="22"/>
        <v>16.210200706917114</v>
      </c>
      <c r="U48" s="158">
        <v>0.05</v>
      </c>
      <c r="V48" s="159">
        <v>12</v>
      </c>
      <c r="W48" s="159">
        <f t="shared" si="23"/>
        <v>4</v>
      </c>
      <c r="X48" s="139">
        <f t="shared" si="24"/>
        <v>3.5459505041623602</v>
      </c>
      <c r="Y48" s="139">
        <f t="shared" si="25"/>
        <v>8.8632516364488083</v>
      </c>
      <c r="Z48" s="139">
        <f t="shared" si="26"/>
        <v>0.40007331954563541</v>
      </c>
      <c r="AA48" s="139">
        <f t="shared" si="27"/>
        <v>3.0098318804244006</v>
      </c>
      <c r="AB48" s="139">
        <f t="shared" si="28"/>
        <v>11.696831880424401</v>
      </c>
    </row>
    <row r="49" spans="1:28" s="69" customFormat="1" ht="18" x14ac:dyDescent="0.35">
      <c r="A49" s="767" t="s">
        <v>739</v>
      </c>
      <c r="B49" s="768"/>
      <c r="C49" s="388" t="s">
        <v>740</v>
      </c>
      <c r="D49" s="388" t="s">
        <v>706</v>
      </c>
      <c r="E49" s="389">
        <v>10.59</v>
      </c>
      <c r="F49" s="389">
        <v>3.2829999999999999</v>
      </c>
      <c r="G49" s="311">
        <f t="shared" si="29"/>
        <v>7.3070000000000004</v>
      </c>
      <c r="H49" s="97">
        <f t="shared" si="18"/>
        <v>7.3070000000000004</v>
      </c>
      <c r="I49" s="392">
        <v>5.75</v>
      </c>
      <c r="J49" s="326">
        <f t="shared" si="12"/>
        <v>10.59</v>
      </c>
      <c r="K49" s="203">
        <f t="shared" si="13"/>
        <v>3.2829999999999999</v>
      </c>
      <c r="L49" s="203">
        <f t="shared" si="14"/>
        <v>4.2402007069171139</v>
      </c>
      <c r="M49" s="203">
        <f t="shared" si="15"/>
        <v>7.3070000000000004</v>
      </c>
      <c r="N49" s="203">
        <f t="shared" si="16"/>
        <v>14.830200706917115</v>
      </c>
      <c r="O49" s="327">
        <f t="shared" si="17"/>
        <v>10.316831880424401</v>
      </c>
      <c r="P49" s="400">
        <f t="shared" si="19"/>
        <v>10.59</v>
      </c>
      <c r="Q49" s="11">
        <f t="shared" si="20"/>
        <v>3.2829999999999999</v>
      </c>
      <c r="R49" s="11">
        <f>I49*'Labor Adjustment'!$B$10</f>
        <v>4.2402007069171139</v>
      </c>
      <c r="S49" s="11">
        <f t="shared" si="21"/>
        <v>7.3070000000000004</v>
      </c>
      <c r="T49" s="11">
        <f t="shared" si="22"/>
        <v>14.830200706917115</v>
      </c>
      <c r="U49" s="158">
        <v>0.05</v>
      </c>
      <c r="V49" s="159">
        <v>12</v>
      </c>
      <c r="W49" s="159">
        <f t="shared" si="23"/>
        <v>4</v>
      </c>
      <c r="X49" s="139">
        <f t="shared" si="24"/>
        <v>3.5459505041623602</v>
      </c>
      <c r="Y49" s="139">
        <f t="shared" si="25"/>
        <v>8.8632516364488083</v>
      </c>
      <c r="Z49" s="139">
        <f t="shared" si="26"/>
        <v>0.40007331954563541</v>
      </c>
      <c r="AA49" s="139">
        <f t="shared" si="27"/>
        <v>3.0098318804244006</v>
      </c>
      <c r="AB49" s="139">
        <f t="shared" si="28"/>
        <v>10.316831880424401</v>
      </c>
    </row>
    <row r="50" spans="1:28" s="69" customFormat="1" ht="18" x14ac:dyDescent="0.35">
      <c r="A50" s="767" t="s">
        <v>741</v>
      </c>
      <c r="B50" s="768"/>
      <c r="C50" s="388" t="s">
        <v>742</v>
      </c>
      <c r="D50" s="388" t="s">
        <v>706</v>
      </c>
      <c r="E50" s="389">
        <v>12.52</v>
      </c>
      <c r="F50" s="389">
        <v>3.2829999999999999</v>
      </c>
      <c r="G50" s="311">
        <f t="shared" si="29"/>
        <v>9.2370000000000001</v>
      </c>
      <c r="H50" s="97">
        <f t="shared" si="18"/>
        <v>9.2370000000000001</v>
      </c>
      <c r="I50" s="392">
        <v>5.75</v>
      </c>
      <c r="J50" s="326">
        <f t="shared" si="12"/>
        <v>12.52</v>
      </c>
      <c r="K50" s="203">
        <f t="shared" si="13"/>
        <v>3.2829999999999999</v>
      </c>
      <c r="L50" s="203">
        <f t="shared" si="14"/>
        <v>4.2402007069171139</v>
      </c>
      <c r="M50" s="203">
        <f t="shared" si="15"/>
        <v>9.2370000000000001</v>
      </c>
      <c r="N50" s="203">
        <f t="shared" si="16"/>
        <v>16.760200706917114</v>
      </c>
      <c r="O50" s="327">
        <f t="shared" si="17"/>
        <v>12.2468318804244</v>
      </c>
      <c r="P50" s="400">
        <f t="shared" si="19"/>
        <v>12.52</v>
      </c>
      <c r="Q50" s="11">
        <f t="shared" si="20"/>
        <v>3.2829999999999999</v>
      </c>
      <c r="R50" s="11">
        <f>I50*'Labor Adjustment'!$B$10</f>
        <v>4.2402007069171139</v>
      </c>
      <c r="S50" s="11">
        <f t="shared" si="21"/>
        <v>9.2370000000000001</v>
      </c>
      <c r="T50" s="11">
        <f t="shared" si="22"/>
        <v>16.760200706917114</v>
      </c>
      <c r="U50" s="158">
        <v>0.05</v>
      </c>
      <c r="V50" s="159">
        <v>12</v>
      </c>
      <c r="W50" s="159">
        <f t="shared" si="23"/>
        <v>4</v>
      </c>
      <c r="X50" s="139">
        <f t="shared" si="24"/>
        <v>3.5459505041623602</v>
      </c>
      <c r="Y50" s="139">
        <f t="shared" si="25"/>
        <v>8.8632516364488083</v>
      </c>
      <c r="Z50" s="139">
        <f t="shared" si="26"/>
        <v>0.40007331954563541</v>
      </c>
      <c r="AA50" s="139">
        <f t="shared" si="27"/>
        <v>3.0098318804244006</v>
      </c>
      <c r="AB50" s="139">
        <f t="shared" si="28"/>
        <v>12.2468318804244</v>
      </c>
    </row>
    <row r="51" spans="1:28" s="69" customFormat="1" ht="18" x14ac:dyDescent="0.35">
      <c r="A51" s="767" t="s">
        <v>743</v>
      </c>
      <c r="B51" s="768"/>
      <c r="C51" s="388" t="s">
        <v>744</v>
      </c>
      <c r="D51" s="388" t="s">
        <v>706</v>
      </c>
      <c r="E51" s="389">
        <v>14.787000000000001</v>
      </c>
      <c r="F51" s="389">
        <v>3.2829999999999999</v>
      </c>
      <c r="G51" s="311">
        <f t="shared" si="29"/>
        <v>11.504000000000001</v>
      </c>
      <c r="H51" s="97">
        <f t="shared" si="18"/>
        <v>11.504000000000001</v>
      </c>
      <c r="I51" s="392">
        <v>5.75</v>
      </c>
      <c r="J51" s="326">
        <f t="shared" si="12"/>
        <v>14.787000000000001</v>
      </c>
      <c r="K51" s="203">
        <f t="shared" si="13"/>
        <v>3.2829999999999999</v>
      </c>
      <c r="L51" s="203">
        <f t="shared" si="14"/>
        <v>4.2402007069171139</v>
      </c>
      <c r="M51" s="203">
        <f t="shared" si="15"/>
        <v>11.504000000000001</v>
      </c>
      <c r="N51" s="203">
        <f t="shared" si="16"/>
        <v>19.027200706917114</v>
      </c>
      <c r="O51" s="327">
        <f t="shared" si="17"/>
        <v>14.513831880424402</v>
      </c>
      <c r="P51" s="400">
        <f t="shared" si="19"/>
        <v>14.787000000000001</v>
      </c>
      <c r="Q51" s="11">
        <f t="shared" si="20"/>
        <v>3.2829999999999999</v>
      </c>
      <c r="R51" s="11">
        <f>I51*'Labor Adjustment'!$B$10</f>
        <v>4.2402007069171139</v>
      </c>
      <c r="S51" s="11">
        <f t="shared" si="21"/>
        <v>11.504000000000001</v>
      </c>
      <c r="T51" s="11">
        <f t="shared" si="22"/>
        <v>19.027200706917114</v>
      </c>
      <c r="U51" s="158">
        <v>0.05</v>
      </c>
      <c r="V51" s="159">
        <v>12</v>
      </c>
      <c r="W51" s="159">
        <f t="shared" si="23"/>
        <v>4</v>
      </c>
      <c r="X51" s="139">
        <f t="shared" si="24"/>
        <v>3.5459505041623602</v>
      </c>
      <c r="Y51" s="139">
        <f t="shared" si="25"/>
        <v>8.8632516364488083</v>
      </c>
      <c r="Z51" s="139">
        <f t="shared" si="26"/>
        <v>0.40007331954563541</v>
      </c>
      <c r="AA51" s="139">
        <f t="shared" si="27"/>
        <v>3.0098318804244006</v>
      </c>
      <c r="AB51" s="139">
        <f t="shared" si="28"/>
        <v>14.513831880424402</v>
      </c>
    </row>
    <row r="52" spans="1:28" s="69" customFormat="1" ht="18" x14ac:dyDescent="0.35">
      <c r="A52" s="767" t="s">
        <v>745</v>
      </c>
      <c r="B52" s="768"/>
      <c r="C52" s="388" t="s">
        <v>746</v>
      </c>
      <c r="D52" s="388" t="s">
        <v>706</v>
      </c>
      <c r="E52" s="389">
        <v>16.829999999999998</v>
      </c>
      <c r="F52" s="389">
        <v>3.2829999999999999</v>
      </c>
      <c r="G52" s="311">
        <f t="shared" si="29"/>
        <v>13.546999999999999</v>
      </c>
      <c r="H52" s="97">
        <f t="shared" si="18"/>
        <v>13.546999999999999</v>
      </c>
      <c r="I52" s="392">
        <v>5.75</v>
      </c>
      <c r="J52" s="326">
        <f t="shared" si="12"/>
        <v>16.829999999999998</v>
      </c>
      <c r="K52" s="203">
        <f t="shared" si="13"/>
        <v>3.2829999999999999</v>
      </c>
      <c r="L52" s="203">
        <f t="shared" si="14"/>
        <v>4.2402007069171139</v>
      </c>
      <c r="M52" s="203">
        <f t="shared" si="15"/>
        <v>13.546999999999999</v>
      </c>
      <c r="N52" s="203">
        <f t="shared" si="16"/>
        <v>21.070200706917113</v>
      </c>
      <c r="O52" s="327">
        <f t="shared" si="17"/>
        <v>16.556831880424401</v>
      </c>
      <c r="P52" s="400">
        <f t="shared" si="19"/>
        <v>16.829999999999998</v>
      </c>
      <c r="Q52" s="11">
        <f t="shared" si="20"/>
        <v>3.2829999999999999</v>
      </c>
      <c r="R52" s="11">
        <f>I52*'Labor Adjustment'!$B$10</f>
        <v>4.2402007069171139</v>
      </c>
      <c r="S52" s="11">
        <f t="shared" si="21"/>
        <v>13.546999999999999</v>
      </c>
      <c r="T52" s="11">
        <f t="shared" si="22"/>
        <v>21.070200706917113</v>
      </c>
      <c r="U52" s="158">
        <v>0.05</v>
      </c>
      <c r="V52" s="159">
        <v>12</v>
      </c>
      <c r="W52" s="159">
        <f t="shared" si="23"/>
        <v>4</v>
      </c>
      <c r="X52" s="139">
        <f t="shared" si="24"/>
        <v>3.5459505041623602</v>
      </c>
      <c r="Y52" s="139">
        <f t="shared" si="25"/>
        <v>8.8632516364488083</v>
      </c>
      <c r="Z52" s="139">
        <f t="shared" si="26"/>
        <v>0.40007331954563541</v>
      </c>
      <c r="AA52" s="139">
        <f t="shared" si="27"/>
        <v>3.0098318804244006</v>
      </c>
      <c r="AB52" s="139">
        <f t="shared" si="28"/>
        <v>16.556831880424401</v>
      </c>
    </row>
    <row r="53" spans="1:28" s="69" customFormat="1" ht="18" x14ac:dyDescent="0.35">
      <c r="A53" s="767" t="s">
        <v>747</v>
      </c>
      <c r="B53" s="768"/>
      <c r="C53" s="388" t="s">
        <v>748</v>
      </c>
      <c r="D53" s="388" t="s">
        <v>706</v>
      </c>
      <c r="E53" s="389">
        <v>16.239999999999998</v>
      </c>
      <c r="F53" s="389">
        <v>3.2829999999999999</v>
      </c>
      <c r="G53" s="311">
        <f t="shared" si="29"/>
        <v>12.956999999999999</v>
      </c>
      <c r="H53" s="97">
        <f t="shared" si="18"/>
        <v>12.956999999999999</v>
      </c>
      <c r="I53" s="392">
        <v>5.75</v>
      </c>
      <c r="J53" s="326">
        <f t="shared" si="12"/>
        <v>16.239999999999998</v>
      </c>
      <c r="K53" s="203">
        <f t="shared" si="13"/>
        <v>3.2829999999999999</v>
      </c>
      <c r="L53" s="203">
        <f t="shared" si="14"/>
        <v>4.2402007069171139</v>
      </c>
      <c r="M53" s="203">
        <f t="shared" si="15"/>
        <v>12.956999999999999</v>
      </c>
      <c r="N53" s="203">
        <f t="shared" si="16"/>
        <v>20.480200706917113</v>
      </c>
      <c r="O53" s="327">
        <f t="shared" si="17"/>
        <v>15.966831880424399</v>
      </c>
      <c r="P53" s="400">
        <f t="shared" si="19"/>
        <v>16.239999999999998</v>
      </c>
      <c r="Q53" s="11">
        <f t="shared" si="20"/>
        <v>3.2829999999999999</v>
      </c>
      <c r="R53" s="11">
        <f>I53*'Labor Adjustment'!$B$10</f>
        <v>4.2402007069171139</v>
      </c>
      <c r="S53" s="11">
        <f t="shared" si="21"/>
        <v>12.956999999999999</v>
      </c>
      <c r="T53" s="11">
        <f t="shared" si="22"/>
        <v>20.480200706917113</v>
      </c>
      <c r="U53" s="158">
        <v>0.05</v>
      </c>
      <c r="V53" s="159">
        <v>12</v>
      </c>
      <c r="W53" s="159">
        <f t="shared" si="23"/>
        <v>4</v>
      </c>
      <c r="X53" s="139">
        <f t="shared" si="24"/>
        <v>3.5459505041623602</v>
      </c>
      <c r="Y53" s="139">
        <f t="shared" si="25"/>
        <v>8.8632516364488083</v>
      </c>
      <c r="Z53" s="139">
        <f t="shared" si="26"/>
        <v>0.40007331954563541</v>
      </c>
      <c r="AA53" s="139">
        <f t="shared" si="27"/>
        <v>3.0098318804244006</v>
      </c>
      <c r="AB53" s="139">
        <f t="shared" si="28"/>
        <v>15.966831880424399</v>
      </c>
    </row>
    <row r="54" spans="1:28" s="69" customFormat="1" ht="18" x14ac:dyDescent="0.35">
      <c r="A54" s="767" t="s">
        <v>749</v>
      </c>
      <c r="B54" s="768"/>
      <c r="C54" s="388" t="s">
        <v>750</v>
      </c>
      <c r="D54" s="388" t="s">
        <v>706</v>
      </c>
      <c r="E54" s="389">
        <v>16.239999999999998</v>
      </c>
      <c r="F54" s="389">
        <v>3.2829999999999999</v>
      </c>
      <c r="G54" s="311">
        <f t="shared" si="29"/>
        <v>12.956999999999999</v>
      </c>
      <c r="H54" s="97">
        <f t="shared" si="18"/>
        <v>12.956999999999999</v>
      </c>
      <c r="I54" s="392">
        <v>5.75</v>
      </c>
      <c r="J54" s="326">
        <f t="shared" si="12"/>
        <v>16.239999999999998</v>
      </c>
      <c r="K54" s="203">
        <f t="shared" si="13"/>
        <v>3.2829999999999999</v>
      </c>
      <c r="L54" s="203">
        <f t="shared" si="14"/>
        <v>4.2402007069171139</v>
      </c>
      <c r="M54" s="203">
        <f t="shared" si="15"/>
        <v>12.956999999999999</v>
      </c>
      <c r="N54" s="203">
        <f t="shared" si="16"/>
        <v>20.480200706917113</v>
      </c>
      <c r="O54" s="327">
        <f t="shared" si="17"/>
        <v>15.966831880424399</v>
      </c>
      <c r="P54" s="400">
        <f t="shared" si="19"/>
        <v>16.239999999999998</v>
      </c>
      <c r="Q54" s="11">
        <f t="shared" si="20"/>
        <v>3.2829999999999999</v>
      </c>
      <c r="R54" s="11">
        <f>I54*'Labor Adjustment'!$B$10</f>
        <v>4.2402007069171139</v>
      </c>
      <c r="S54" s="11">
        <f t="shared" si="21"/>
        <v>12.956999999999999</v>
      </c>
      <c r="T54" s="11">
        <f t="shared" si="22"/>
        <v>20.480200706917113</v>
      </c>
      <c r="U54" s="158">
        <v>0.05</v>
      </c>
      <c r="V54" s="159">
        <v>12</v>
      </c>
      <c r="W54" s="159">
        <f t="shared" si="23"/>
        <v>4</v>
      </c>
      <c r="X54" s="139">
        <f t="shared" si="24"/>
        <v>3.5459505041623602</v>
      </c>
      <c r="Y54" s="139">
        <f t="shared" si="25"/>
        <v>8.8632516364488083</v>
      </c>
      <c r="Z54" s="139">
        <f t="shared" si="26"/>
        <v>0.40007331954563541</v>
      </c>
      <c r="AA54" s="139">
        <f t="shared" si="27"/>
        <v>3.0098318804244006</v>
      </c>
      <c r="AB54" s="139">
        <f t="shared" si="28"/>
        <v>15.966831880424399</v>
      </c>
    </row>
    <row r="55" spans="1:28" s="69" customFormat="1" ht="18" x14ac:dyDescent="0.35">
      <c r="A55" s="767" t="s">
        <v>751</v>
      </c>
      <c r="B55" s="768"/>
      <c r="C55" s="388" t="s">
        <v>752</v>
      </c>
      <c r="D55" s="388" t="s">
        <v>706</v>
      </c>
      <c r="E55" s="389">
        <v>16.239999999999998</v>
      </c>
      <c r="F55" s="389">
        <v>3.2829999999999999</v>
      </c>
      <c r="G55" s="311">
        <f t="shared" si="29"/>
        <v>12.956999999999999</v>
      </c>
      <c r="H55" s="97">
        <f t="shared" si="18"/>
        <v>12.956999999999999</v>
      </c>
      <c r="I55" s="392">
        <v>5.75</v>
      </c>
      <c r="J55" s="326">
        <f t="shared" si="12"/>
        <v>16.239999999999998</v>
      </c>
      <c r="K55" s="203">
        <f t="shared" si="13"/>
        <v>3.2829999999999999</v>
      </c>
      <c r="L55" s="203">
        <f t="shared" si="14"/>
        <v>4.2402007069171139</v>
      </c>
      <c r="M55" s="203">
        <f t="shared" si="15"/>
        <v>12.956999999999999</v>
      </c>
      <c r="N55" s="203">
        <f t="shared" si="16"/>
        <v>20.480200706917113</v>
      </c>
      <c r="O55" s="327">
        <f t="shared" si="17"/>
        <v>15.966831880424399</v>
      </c>
      <c r="P55" s="400">
        <f t="shared" si="19"/>
        <v>16.239999999999998</v>
      </c>
      <c r="Q55" s="11">
        <f t="shared" si="20"/>
        <v>3.2829999999999999</v>
      </c>
      <c r="R55" s="11">
        <f>I55*'Labor Adjustment'!$B$10</f>
        <v>4.2402007069171139</v>
      </c>
      <c r="S55" s="11">
        <f t="shared" si="21"/>
        <v>12.956999999999999</v>
      </c>
      <c r="T55" s="11">
        <f t="shared" si="22"/>
        <v>20.480200706917113</v>
      </c>
      <c r="U55" s="158">
        <v>0.05</v>
      </c>
      <c r="V55" s="159">
        <v>12</v>
      </c>
      <c r="W55" s="159">
        <f t="shared" si="23"/>
        <v>4</v>
      </c>
      <c r="X55" s="139">
        <f t="shared" si="24"/>
        <v>3.5459505041623602</v>
      </c>
      <c r="Y55" s="139">
        <f t="shared" si="25"/>
        <v>8.8632516364488083</v>
      </c>
      <c r="Z55" s="139">
        <f t="shared" si="26"/>
        <v>0.40007331954563541</v>
      </c>
      <c r="AA55" s="139">
        <f t="shared" si="27"/>
        <v>3.0098318804244006</v>
      </c>
      <c r="AB55" s="139">
        <f t="shared" si="28"/>
        <v>15.966831880424399</v>
      </c>
    </row>
    <row r="56" spans="1:28" s="69" customFormat="1" ht="18" x14ac:dyDescent="0.35">
      <c r="A56" s="767" t="s">
        <v>753</v>
      </c>
      <c r="B56" s="768"/>
      <c r="C56" s="388" t="s">
        <v>754</v>
      </c>
      <c r="D56" s="388" t="s">
        <v>706</v>
      </c>
      <c r="E56" s="389">
        <v>12.52</v>
      </c>
      <c r="F56" s="389">
        <v>3.488</v>
      </c>
      <c r="G56" s="311">
        <f t="shared" si="29"/>
        <v>9.032</v>
      </c>
      <c r="H56" s="97">
        <f t="shared" si="18"/>
        <v>9.032</v>
      </c>
      <c r="I56" s="392">
        <v>5.75</v>
      </c>
      <c r="J56" s="326">
        <f t="shared" si="12"/>
        <v>12.52</v>
      </c>
      <c r="K56" s="203">
        <f t="shared" si="13"/>
        <v>3.488</v>
      </c>
      <c r="L56" s="203">
        <f t="shared" si="14"/>
        <v>4.2402007069171139</v>
      </c>
      <c r="M56" s="203">
        <f t="shared" si="15"/>
        <v>9.032</v>
      </c>
      <c r="N56" s="203">
        <f t="shared" si="16"/>
        <v>16.760200706917114</v>
      </c>
      <c r="O56" s="327">
        <f t="shared" si="17"/>
        <v>12.123846910931256</v>
      </c>
      <c r="P56" s="400">
        <f t="shared" si="19"/>
        <v>12.52</v>
      </c>
      <c r="Q56" s="11">
        <f t="shared" si="20"/>
        <v>3.488</v>
      </c>
      <c r="R56" s="11">
        <f>I56*'Labor Adjustment'!$B$10</f>
        <v>4.2402007069171139</v>
      </c>
      <c r="S56" s="11">
        <f t="shared" si="21"/>
        <v>9.032</v>
      </c>
      <c r="T56" s="11">
        <f t="shared" si="22"/>
        <v>16.760200706917114</v>
      </c>
      <c r="U56" s="158">
        <v>0.05</v>
      </c>
      <c r="V56" s="159">
        <v>12</v>
      </c>
      <c r="W56" s="159">
        <f t="shared" si="23"/>
        <v>4</v>
      </c>
      <c r="X56" s="139">
        <f t="shared" si="24"/>
        <v>3.5459505041623602</v>
      </c>
      <c r="Y56" s="139">
        <f t="shared" si="25"/>
        <v>8.8632516364488083</v>
      </c>
      <c r="Z56" s="139">
        <f t="shared" si="26"/>
        <v>0.40007331954563541</v>
      </c>
      <c r="AA56" s="139">
        <f t="shared" si="27"/>
        <v>3.0918469109312561</v>
      </c>
      <c r="AB56" s="139">
        <f t="shared" si="28"/>
        <v>12.123846910931256</v>
      </c>
    </row>
    <row r="57" spans="1:28" s="69" customFormat="1" ht="18" x14ac:dyDescent="0.35">
      <c r="A57" s="767" t="s">
        <v>755</v>
      </c>
      <c r="B57" s="768"/>
      <c r="C57" s="388" t="s">
        <v>756</v>
      </c>
      <c r="D57" s="388" t="s">
        <v>706</v>
      </c>
      <c r="E57" s="389">
        <v>12.52</v>
      </c>
      <c r="F57" s="389">
        <v>3.488</v>
      </c>
      <c r="G57" s="311">
        <f t="shared" si="29"/>
        <v>9.032</v>
      </c>
      <c r="H57" s="97">
        <f t="shared" si="18"/>
        <v>9.032</v>
      </c>
      <c r="I57" s="392">
        <v>5.75</v>
      </c>
      <c r="J57" s="326">
        <f t="shared" si="12"/>
        <v>12.52</v>
      </c>
      <c r="K57" s="203">
        <f t="shared" si="13"/>
        <v>3.488</v>
      </c>
      <c r="L57" s="203">
        <f t="shared" si="14"/>
        <v>4.2402007069171139</v>
      </c>
      <c r="M57" s="203">
        <f t="shared" si="15"/>
        <v>9.032</v>
      </c>
      <c r="N57" s="203">
        <f t="shared" si="16"/>
        <v>16.760200706917114</v>
      </c>
      <c r="O57" s="327">
        <f t="shared" si="17"/>
        <v>12.123846910931256</v>
      </c>
      <c r="P57" s="400">
        <f t="shared" si="19"/>
        <v>12.52</v>
      </c>
      <c r="Q57" s="11">
        <f t="shared" si="20"/>
        <v>3.488</v>
      </c>
      <c r="R57" s="11">
        <f>I57*'Labor Adjustment'!$B$10</f>
        <v>4.2402007069171139</v>
      </c>
      <c r="S57" s="11">
        <f t="shared" si="21"/>
        <v>9.032</v>
      </c>
      <c r="T57" s="11">
        <f t="shared" si="22"/>
        <v>16.760200706917114</v>
      </c>
      <c r="U57" s="158">
        <v>0.05</v>
      </c>
      <c r="V57" s="159">
        <v>12</v>
      </c>
      <c r="W57" s="159">
        <f t="shared" si="23"/>
        <v>4</v>
      </c>
      <c r="X57" s="139">
        <f t="shared" si="24"/>
        <v>3.5459505041623602</v>
      </c>
      <c r="Y57" s="139">
        <f t="shared" si="25"/>
        <v>8.8632516364488083</v>
      </c>
      <c r="Z57" s="139">
        <f t="shared" si="26"/>
        <v>0.40007331954563541</v>
      </c>
      <c r="AA57" s="139">
        <f t="shared" si="27"/>
        <v>3.0918469109312561</v>
      </c>
      <c r="AB57" s="139">
        <f t="shared" si="28"/>
        <v>12.123846910931256</v>
      </c>
    </row>
    <row r="58" spans="1:28" s="69" customFormat="1" ht="18" x14ac:dyDescent="0.35">
      <c r="A58" s="767" t="s">
        <v>757</v>
      </c>
      <c r="B58" s="768"/>
      <c r="C58" s="388" t="s">
        <v>758</v>
      </c>
      <c r="D58" s="388" t="s">
        <v>706</v>
      </c>
      <c r="E58" s="389">
        <v>15.83</v>
      </c>
      <c r="F58" s="389">
        <v>3.488</v>
      </c>
      <c r="G58" s="311">
        <f t="shared" si="29"/>
        <v>12.342000000000001</v>
      </c>
      <c r="H58" s="97">
        <f t="shared" si="18"/>
        <v>12.342000000000001</v>
      </c>
      <c r="I58" s="392">
        <v>5.75</v>
      </c>
      <c r="J58" s="326">
        <f t="shared" si="12"/>
        <v>15.83</v>
      </c>
      <c r="K58" s="203">
        <f t="shared" si="13"/>
        <v>3.488</v>
      </c>
      <c r="L58" s="203">
        <f t="shared" si="14"/>
        <v>4.2402007069171139</v>
      </c>
      <c r="M58" s="203">
        <f t="shared" si="15"/>
        <v>12.342000000000001</v>
      </c>
      <c r="N58" s="203">
        <f t="shared" si="16"/>
        <v>20.070200706917113</v>
      </c>
      <c r="O58" s="327">
        <f t="shared" si="17"/>
        <v>15.433846910931257</v>
      </c>
      <c r="P58" s="400">
        <f t="shared" si="19"/>
        <v>15.83</v>
      </c>
      <c r="Q58" s="11">
        <f t="shared" si="20"/>
        <v>3.488</v>
      </c>
      <c r="R58" s="11">
        <f>I58*'Labor Adjustment'!$B$10</f>
        <v>4.2402007069171139</v>
      </c>
      <c r="S58" s="11">
        <f t="shared" si="21"/>
        <v>12.342000000000001</v>
      </c>
      <c r="T58" s="11">
        <f t="shared" si="22"/>
        <v>20.070200706917113</v>
      </c>
      <c r="U58" s="158">
        <v>0.05</v>
      </c>
      <c r="V58" s="159">
        <v>12</v>
      </c>
      <c r="W58" s="159">
        <f t="shared" si="23"/>
        <v>4</v>
      </c>
      <c r="X58" s="139">
        <f t="shared" si="24"/>
        <v>3.5459505041623602</v>
      </c>
      <c r="Y58" s="139">
        <f t="shared" si="25"/>
        <v>8.8632516364488083</v>
      </c>
      <c r="Z58" s="139">
        <f t="shared" si="26"/>
        <v>0.40007331954563541</v>
      </c>
      <c r="AA58" s="139">
        <f t="shared" si="27"/>
        <v>3.0918469109312561</v>
      </c>
      <c r="AB58" s="139">
        <f t="shared" si="28"/>
        <v>15.433846910931257</v>
      </c>
    </row>
    <row r="59" spans="1:28" s="69" customFormat="1" ht="18" x14ac:dyDescent="0.35">
      <c r="A59" s="767" t="s">
        <v>759</v>
      </c>
      <c r="B59" s="768"/>
      <c r="C59" s="388" t="s">
        <v>760</v>
      </c>
      <c r="D59" s="388" t="s">
        <v>706</v>
      </c>
      <c r="E59" s="389">
        <v>16.373999999999999</v>
      </c>
      <c r="F59" s="389">
        <v>3.488</v>
      </c>
      <c r="G59" s="311">
        <f t="shared" si="29"/>
        <v>12.885999999999999</v>
      </c>
      <c r="H59" s="97">
        <f t="shared" si="18"/>
        <v>12.885999999999999</v>
      </c>
      <c r="I59" s="392">
        <v>5.75</v>
      </c>
      <c r="J59" s="326">
        <f t="shared" si="12"/>
        <v>16.373999999999999</v>
      </c>
      <c r="K59" s="203">
        <f t="shared" si="13"/>
        <v>3.488</v>
      </c>
      <c r="L59" s="203">
        <f t="shared" si="14"/>
        <v>4.2402007069171139</v>
      </c>
      <c r="M59" s="203">
        <f t="shared" si="15"/>
        <v>12.885999999999999</v>
      </c>
      <c r="N59" s="203">
        <f t="shared" si="16"/>
        <v>20.614200706917114</v>
      </c>
      <c r="O59" s="327">
        <f t="shared" si="17"/>
        <v>15.977846910931255</v>
      </c>
      <c r="P59" s="400">
        <f t="shared" si="19"/>
        <v>16.373999999999999</v>
      </c>
      <c r="Q59" s="11">
        <f t="shared" si="20"/>
        <v>3.488</v>
      </c>
      <c r="R59" s="11">
        <f>I59*'Labor Adjustment'!$B$10</f>
        <v>4.2402007069171139</v>
      </c>
      <c r="S59" s="11">
        <f t="shared" si="21"/>
        <v>12.885999999999999</v>
      </c>
      <c r="T59" s="11">
        <f t="shared" si="22"/>
        <v>20.614200706917114</v>
      </c>
      <c r="U59" s="158">
        <v>0.05</v>
      </c>
      <c r="V59" s="159">
        <v>12</v>
      </c>
      <c r="W59" s="159">
        <f t="shared" si="23"/>
        <v>4</v>
      </c>
      <c r="X59" s="139">
        <f t="shared" si="24"/>
        <v>3.5459505041623602</v>
      </c>
      <c r="Y59" s="139">
        <f t="shared" si="25"/>
        <v>8.8632516364488083</v>
      </c>
      <c r="Z59" s="139">
        <f t="shared" si="26"/>
        <v>0.40007331954563541</v>
      </c>
      <c r="AA59" s="139">
        <f t="shared" si="27"/>
        <v>3.0918469109312561</v>
      </c>
      <c r="AB59" s="139">
        <f t="shared" si="28"/>
        <v>15.977846910931255</v>
      </c>
    </row>
    <row r="60" spans="1:28" s="69" customFormat="1" ht="18" x14ac:dyDescent="0.35">
      <c r="A60" s="767" t="s">
        <v>761</v>
      </c>
      <c r="B60" s="768"/>
      <c r="C60" s="388" t="s">
        <v>762</v>
      </c>
      <c r="D60" s="388" t="s">
        <v>706</v>
      </c>
      <c r="E60" s="389">
        <v>18.37</v>
      </c>
      <c r="F60" s="389">
        <v>3.488</v>
      </c>
      <c r="G60" s="311">
        <f t="shared" si="29"/>
        <v>14.882000000000001</v>
      </c>
      <c r="H60" s="97">
        <f t="shared" si="18"/>
        <v>14.882000000000001</v>
      </c>
      <c r="I60" s="392">
        <v>5.75</v>
      </c>
      <c r="J60" s="326">
        <f t="shared" si="12"/>
        <v>18.37</v>
      </c>
      <c r="K60" s="203">
        <f t="shared" si="13"/>
        <v>3.488</v>
      </c>
      <c r="L60" s="203">
        <f t="shared" si="14"/>
        <v>4.2402007069171139</v>
      </c>
      <c r="M60" s="203">
        <f t="shared" si="15"/>
        <v>14.882000000000001</v>
      </c>
      <c r="N60" s="203">
        <f t="shared" si="16"/>
        <v>22.610200706917116</v>
      </c>
      <c r="O60" s="327">
        <f t="shared" si="17"/>
        <v>17.973846910931258</v>
      </c>
      <c r="P60" s="400">
        <f t="shared" si="19"/>
        <v>18.37</v>
      </c>
      <c r="Q60" s="11">
        <f t="shared" si="20"/>
        <v>3.488</v>
      </c>
      <c r="R60" s="11">
        <f>I60*'Labor Adjustment'!$B$10</f>
        <v>4.2402007069171139</v>
      </c>
      <c r="S60" s="11">
        <f t="shared" si="21"/>
        <v>14.882000000000001</v>
      </c>
      <c r="T60" s="11">
        <f t="shared" si="22"/>
        <v>22.610200706917116</v>
      </c>
      <c r="U60" s="158">
        <v>0.05</v>
      </c>
      <c r="V60" s="159">
        <v>12</v>
      </c>
      <c r="W60" s="159">
        <f t="shared" si="23"/>
        <v>4</v>
      </c>
      <c r="X60" s="139">
        <f t="shared" si="24"/>
        <v>3.5459505041623602</v>
      </c>
      <c r="Y60" s="139">
        <f t="shared" si="25"/>
        <v>8.8632516364488083</v>
      </c>
      <c r="Z60" s="139">
        <f t="shared" si="26"/>
        <v>0.40007331954563541</v>
      </c>
      <c r="AA60" s="139">
        <f t="shared" si="27"/>
        <v>3.0918469109312561</v>
      </c>
      <c r="AB60" s="139">
        <f t="shared" si="28"/>
        <v>17.973846910931258</v>
      </c>
    </row>
    <row r="61" spans="1:28" s="69" customFormat="1" ht="18" x14ac:dyDescent="0.35">
      <c r="A61" s="767" t="s">
        <v>763</v>
      </c>
      <c r="B61" s="768"/>
      <c r="C61" s="388" t="s">
        <v>764</v>
      </c>
      <c r="D61" s="388" t="s">
        <v>706</v>
      </c>
      <c r="E61" s="389">
        <v>30.05</v>
      </c>
      <c r="F61" s="389">
        <v>3.488</v>
      </c>
      <c r="G61" s="311">
        <f t="shared" si="29"/>
        <v>26.562000000000001</v>
      </c>
      <c r="H61" s="97">
        <f t="shared" si="18"/>
        <v>26.562000000000001</v>
      </c>
      <c r="I61" s="392">
        <v>5.75</v>
      </c>
      <c r="J61" s="326">
        <f t="shared" si="12"/>
        <v>30.05</v>
      </c>
      <c r="K61" s="203">
        <f t="shared" si="13"/>
        <v>3.488</v>
      </c>
      <c r="L61" s="203">
        <f t="shared" si="14"/>
        <v>4.2402007069171139</v>
      </c>
      <c r="M61" s="203">
        <f t="shared" si="15"/>
        <v>26.562000000000001</v>
      </c>
      <c r="N61" s="203">
        <f t="shared" si="16"/>
        <v>34.290200706917112</v>
      </c>
      <c r="O61" s="327">
        <f t="shared" si="17"/>
        <v>29.653846910931257</v>
      </c>
      <c r="P61" s="400">
        <f t="shared" si="19"/>
        <v>30.05</v>
      </c>
      <c r="Q61" s="11">
        <f t="shared" si="20"/>
        <v>3.488</v>
      </c>
      <c r="R61" s="11">
        <f>I61*'Labor Adjustment'!$B$10</f>
        <v>4.2402007069171139</v>
      </c>
      <c r="S61" s="11">
        <f t="shared" si="21"/>
        <v>26.562000000000001</v>
      </c>
      <c r="T61" s="11">
        <f t="shared" si="22"/>
        <v>34.290200706917112</v>
      </c>
      <c r="U61" s="158">
        <v>0.05</v>
      </c>
      <c r="V61" s="159">
        <v>12</v>
      </c>
      <c r="W61" s="159">
        <f t="shared" si="23"/>
        <v>4</v>
      </c>
      <c r="X61" s="139">
        <f t="shared" si="24"/>
        <v>3.5459505041623602</v>
      </c>
      <c r="Y61" s="139">
        <f t="shared" si="25"/>
        <v>8.8632516364488083</v>
      </c>
      <c r="Z61" s="139">
        <f t="shared" si="26"/>
        <v>0.40007331954563541</v>
      </c>
      <c r="AA61" s="139">
        <f t="shared" si="27"/>
        <v>3.0918469109312561</v>
      </c>
      <c r="AB61" s="139">
        <f t="shared" si="28"/>
        <v>29.653846910931257</v>
      </c>
    </row>
    <row r="62" spans="1:28" s="69" customFormat="1" ht="18" x14ac:dyDescent="0.35">
      <c r="A62" s="767" t="s">
        <v>765</v>
      </c>
      <c r="B62" s="768"/>
      <c r="C62" s="388" t="s">
        <v>766</v>
      </c>
      <c r="D62" s="388" t="s">
        <v>706</v>
      </c>
      <c r="E62" s="389">
        <v>23.62</v>
      </c>
      <c r="F62" s="389">
        <v>3.488</v>
      </c>
      <c r="G62" s="311">
        <f t="shared" si="29"/>
        <v>20.132000000000001</v>
      </c>
      <c r="H62" s="97">
        <f t="shared" si="18"/>
        <v>20.132000000000001</v>
      </c>
      <c r="I62" s="392">
        <v>5.75</v>
      </c>
      <c r="J62" s="326">
        <f t="shared" si="12"/>
        <v>23.62</v>
      </c>
      <c r="K62" s="203">
        <f t="shared" si="13"/>
        <v>3.488</v>
      </c>
      <c r="L62" s="203">
        <f t="shared" si="14"/>
        <v>4.2402007069171139</v>
      </c>
      <c r="M62" s="203">
        <f t="shared" si="15"/>
        <v>20.132000000000001</v>
      </c>
      <c r="N62" s="203">
        <f t="shared" si="16"/>
        <v>27.860200706917116</v>
      </c>
      <c r="O62" s="327">
        <f t="shared" si="17"/>
        <v>23.223846910931258</v>
      </c>
      <c r="P62" s="400">
        <f t="shared" si="19"/>
        <v>23.62</v>
      </c>
      <c r="Q62" s="11">
        <f t="shared" si="20"/>
        <v>3.488</v>
      </c>
      <c r="R62" s="11">
        <f>I62*'Labor Adjustment'!$B$10</f>
        <v>4.2402007069171139</v>
      </c>
      <c r="S62" s="11">
        <f t="shared" si="21"/>
        <v>20.132000000000001</v>
      </c>
      <c r="T62" s="11">
        <f t="shared" si="22"/>
        <v>27.860200706917116</v>
      </c>
      <c r="U62" s="158">
        <v>0.05</v>
      </c>
      <c r="V62" s="159">
        <v>12</v>
      </c>
      <c r="W62" s="159">
        <f t="shared" si="23"/>
        <v>4</v>
      </c>
      <c r="X62" s="139">
        <f t="shared" si="24"/>
        <v>3.5459505041623602</v>
      </c>
      <c r="Y62" s="139">
        <f t="shared" si="25"/>
        <v>8.8632516364488083</v>
      </c>
      <c r="Z62" s="139">
        <f t="shared" si="26"/>
        <v>0.40007331954563541</v>
      </c>
      <c r="AA62" s="139">
        <f t="shared" si="27"/>
        <v>3.0918469109312561</v>
      </c>
      <c r="AB62" s="139">
        <f t="shared" si="28"/>
        <v>23.223846910931258</v>
      </c>
    </row>
    <row r="63" spans="1:28" s="69" customFormat="1" ht="18" x14ac:dyDescent="0.35">
      <c r="A63" s="767" t="s">
        <v>767</v>
      </c>
      <c r="B63" s="768"/>
      <c r="C63" s="388" t="s">
        <v>768</v>
      </c>
      <c r="D63" s="388" t="s">
        <v>706</v>
      </c>
      <c r="E63" s="389">
        <v>23.62</v>
      </c>
      <c r="F63" s="389">
        <v>3.488</v>
      </c>
      <c r="G63" s="311">
        <f t="shared" si="29"/>
        <v>20.132000000000001</v>
      </c>
      <c r="H63" s="97">
        <f t="shared" si="18"/>
        <v>20.132000000000001</v>
      </c>
      <c r="I63" s="392">
        <v>5.75</v>
      </c>
      <c r="J63" s="326">
        <f t="shared" si="12"/>
        <v>23.62</v>
      </c>
      <c r="K63" s="203">
        <f t="shared" si="13"/>
        <v>3.488</v>
      </c>
      <c r="L63" s="203">
        <f t="shared" si="14"/>
        <v>4.2402007069171139</v>
      </c>
      <c r="M63" s="203">
        <f t="shared" si="15"/>
        <v>20.132000000000001</v>
      </c>
      <c r="N63" s="203">
        <f t="shared" si="16"/>
        <v>27.860200706917116</v>
      </c>
      <c r="O63" s="327">
        <f t="shared" si="17"/>
        <v>23.223846910931258</v>
      </c>
      <c r="P63" s="400">
        <f t="shared" si="19"/>
        <v>23.62</v>
      </c>
      <c r="Q63" s="11">
        <f t="shared" si="20"/>
        <v>3.488</v>
      </c>
      <c r="R63" s="11">
        <f>I63*'Labor Adjustment'!$B$10</f>
        <v>4.2402007069171139</v>
      </c>
      <c r="S63" s="11">
        <f t="shared" si="21"/>
        <v>20.132000000000001</v>
      </c>
      <c r="T63" s="11">
        <f t="shared" si="22"/>
        <v>27.860200706917116</v>
      </c>
      <c r="U63" s="158">
        <v>0.05</v>
      </c>
      <c r="V63" s="159">
        <v>12</v>
      </c>
      <c r="W63" s="159">
        <f t="shared" si="23"/>
        <v>4</v>
      </c>
      <c r="X63" s="139">
        <f t="shared" si="24"/>
        <v>3.5459505041623602</v>
      </c>
      <c r="Y63" s="139">
        <f t="shared" si="25"/>
        <v>8.8632516364488083</v>
      </c>
      <c r="Z63" s="139">
        <f t="shared" si="26"/>
        <v>0.40007331954563541</v>
      </c>
      <c r="AA63" s="139">
        <f t="shared" si="27"/>
        <v>3.0918469109312561</v>
      </c>
      <c r="AB63" s="139">
        <f t="shared" si="28"/>
        <v>23.223846910931258</v>
      </c>
    </row>
    <row r="64" spans="1:28" s="69" customFormat="1" ht="14.4" customHeight="1" x14ac:dyDescent="0.3">
      <c r="A64" s="764" t="s">
        <v>771</v>
      </c>
      <c r="B64" s="765"/>
      <c r="C64" s="765"/>
      <c r="D64" s="765"/>
      <c r="E64" s="765"/>
      <c r="F64" s="765"/>
      <c r="G64" s="765"/>
      <c r="H64" s="765"/>
      <c r="I64" s="766"/>
      <c r="J64" s="404"/>
      <c r="K64" s="405"/>
      <c r="L64" s="405"/>
      <c r="M64" s="405"/>
      <c r="N64" s="405"/>
      <c r="O64" s="406"/>
    </row>
    <row r="65" spans="1:15" s="69" customFormat="1" ht="14.4" customHeight="1" thickBot="1" x14ac:dyDescent="0.35">
      <c r="A65" s="758" t="s">
        <v>943</v>
      </c>
      <c r="B65" s="759"/>
      <c r="C65" s="759"/>
      <c r="D65" s="759"/>
      <c r="E65" s="759"/>
      <c r="F65" s="759"/>
      <c r="G65" s="759"/>
      <c r="H65" s="759"/>
      <c r="I65" s="760"/>
      <c r="J65" s="407"/>
      <c r="K65" s="408"/>
      <c r="L65" s="408"/>
      <c r="M65" s="408"/>
      <c r="N65" s="408"/>
      <c r="O65" s="409"/>
    </row>
    <row r="67" spans="1:15" x14ac:dyDescent="0.3">
      <c r="A67" s="3" t="s">
        <v>28</v>
      </c>
    </row>
  </sheetData>
  <protectedRanges>
    <protectedRange sqref="D33:D63" name="Range5"/>
    <protectedRange sqref="A33:A63" name="Range4"/>
    <protectedRange sqref="C33:C63" name="Range4_1"/>
    <protectedRange sqref="E33:E63" name="Range4_2"/>
  </protectedRanges>
  <mergeCells count="59">
    <mergeCell ref="A7:A8"/>
    <mergeCell ref="A4:A6"/>
    <mergeCell ref="A2:A3"/>
    <mergeCell ref="U31:AB31"/>
    <mergeCell ref="J12:O12"/>
    <mergeCell ref="P12:T12"/>
    <mergeCell ref="U12:AB12"/>
    <mergeCell ref="J24:O24"/>
    <mergeCell ref="P24:T24"/>
    <mergeCell ref="U24:AB24"/>
    <mergeCell ref="J31:O31"/>
    <mergeCell ref="P31:T31"/>
    <mergeCell ref="A13:B13"/>
    <mergeCell ref="A14:A15"/>
    <mergeCell ref="A16:A18"/>
    <mergeCell ref="A19:A20"/>
    <mergeCell ref="A65:I65"/>
    <mergeCell ref="A46:B46"/>
    <mergeCell ref="A47:B47"/>
    <mergeCell ref="A35:B35"/>
    <mergeCell ref="A45:B45"/>
    <mergeCell ref="A62:B62"/>
    <mergeCell ref="A63:B63"/>
    <mergeCell ref="A57:B57"/>
    <mergeCell ref="A58:B58"/>
    <mergeCell ref="A59:B59"/>
    <mergeCell ref="A60:B60"/>
    <mergeCell ref="A61:B61"/>
    <mergeCell ref="A41:B41"/>
    <mergeCell ref="A42:B42"/>
    <mergeCell ref="A43:B43"/>
    <mergeCell ref="A39:B39"/>
    <mergeCell ref="A25:B25"/>
    <mergeCell ref="A26:B26"/>
    <mergeCell ref="A36:B36"/>
    <mergeCell ref="A37:B37"/>
    <mergeCell ref="A38:B38"/>
    <mergeCell ref="A44:B44"/>
    <mergeCell ref="A27:B27"/>
    <mergeCell ref="A40:B40"/>
    <mergeCell ref="A34:B34"/>
    <mergeCell ref="A33:B33"/>
    <mergeCell ref="A32:B32"/>
    <mergeCell ref="A12:I12"/>
    <mergeCell ref="A21:I21"/>
    <mergeCell ref="A29:I29"/>
    <mergeCell ref="A28:I28"/>
    <mergeCell ref="A64:I64"/>
    <mergeCell ref="A31:I31"/>
    <mergeCell ref="A24:I24"/>
    <mergeCell ref="A48:B48"/>
    <mergeCell ref="A49:B49"/>
    <mergeCell ref="A52:B52"/>
    <mergeCell ref="A53:B53"/>
    <mergeCell ref="A54:B54"/>
    <mergeCell ref="A50:B50"/>
    <mergeCell ref="A51:B51"/>
    <mergeCell ref="A55:B55"/>
    <mergeCell ref="A56:B56"/>
  </mergeCells>
  <hyperlinks>
    <hyperlink ref="A67" location="TRM_MCS_measures!A1" display="Return To TRM_MCS_Measures"/>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A52"/>
  <sheetViews>
    <sheetView topLeftCell="G34" zoomScale="70" zoomScaleNormal="70" workbookViewId="0">
      <selection activeCell="M46" sqref="M46"/>
    </sheetView>
  </sheetViews>
  <sheetFormatPr defaultRowHeight="14.4" x14ac:dyDescent="0.3"/>
  <cols>
    <col min="1" max="1" width="16.5546875" customWidth="1"/>
    <col min="2" max="2" width="39.88671875" customWidth="1"/>
    <col min="3" max="3" width="67.6640625" customWidth="1"/>
    <col min="4" max="4" width="19.33203125" bestFit="1" customWidth="1"/>
    <col min="5" max="5" width="17.33203125" bestFit="1" customWidth="1"/>
    <col min="6" max="6" width="11.88671875" customWidth="1"/>
    <col min="7" max="7" width="16.6640625" bestFit="1" customWidth="1"/>
    <col min="8" max="8" width="9.44140625" bestFit="1" customWidth="1"/>
    <col min="9" max="9" width="14.88671875" customWidth="1"/>
    <col min="10" max="10" width="12.5546875" customWidth="1"/>
    <col min="11" max="11" width="10.6640625" customWidth="1"/>
    <col min="12" max="12" width="18.5546875" customWidth="1"/>
    <col min="13" max="13" width="18" customWidth="1"/>
    <col min="14" max="14" width="20.44140625" customWidth="1"/>
    <col min="15" max="15" width="11.33203125" customWidth="1"/>
    <col min="16" max="16" width="10.6640625" customWidth="1"/>
    <col min="17" max="17" width="13.88671875" customWidth="1"/>
    <col min="18" max="18" width="16.33203125" customWidth="1"/>
    <col min="19" max="19" width="17.109375" customWidth="1"/>
    <col min="23" max="23" width="23.33203125" customWidth="1"/>
    <col min="24" max="24" width="19.33203125" customWidth="1"/>
    <col min="25" max="25" width="12.5546875" customWidth="1"/>
    <col min="26" max="26" width="20.109375" customWidth="1"/>
    <col min="27" max="27" width="18.6640625" customWidth="1"/>
  </cols>
  <sheetData>
    <row r="1" spans="1:27" s="69" customFormat="1" ht="91.2" x14ac:dyDescent="0.45">
      <c r="A1" s="688" t="s">
        <v>1003</v>
      </c>
      <c r="B1" s="689"/>
      <c r="C1" s="688" t="s">
        <v>170</v>
      </c>
      <c r="D1" s="689"/>
      <c r="E1" s="688" t="s">
        <v>29</v>
      </c>
      <c r="F1" s="690"/>
      <c r="G1" s="690"/>
      <c r="H1" s="689"/>
      <c r="I1" s="173" t="s">
        <v>919</v>
      </c>
      <c r="J1" s="173" t="s">
        <v>32</v>
      </c>
      <c r="K1" s="173" t="s">
        <v>920</v>
      </c>
      <c r="L1" s="173" t="s">
        <v>904</v>
      </c>
      <c r="M1" s="173" t="s">
        <v>905</v>
      </c>
      <c r="N1" s="173" t="s">
        <v>906</v>
      </c>
      <c r="O1" s="43"/>
      <c r="P1" s="43"/>
      <c r="Q1" s="43"/>
      <c r="R1" s="43"/>
      <c r="S1" s="43"/>
      <c r="T1" s="43"/>
      <c r="U1" s="43"/>
    </row>
    <row r="2" spans="1:27" s="69" customFormat="1" ht="23.4" x14ac:dyDescent="0.45">
      <c r="A2" s="691" t="s">
        <v>226</v>
      </c>
      <c r="B2" s="693"/>
      <c r="C2" s="556" t="s">
        <v>1025</v>
      </c>
      <c r="D2" s="559"/>
      <c r="E2" s="691" t="s">
        <v>647</v>
      </c>
      <c r="F2" s="692"/>
      <c r="G2" s="692"/>
      <c r="H2" s="693"/>
      <c r="I2" s="584">
        <f>AVERAGE(I8:I10)</f>
        <v>12.181295833333332</v>
      </c>
      <c r="J2" s="584">
        <f t="shared" ref="J2:N2" si="0">AVERAGE(J8:J10)</f>
        <v>7.0219289999999974</v>
      </c>
      <c r="K2" s="584">
        <f>AVERAGE(K8:K10)</f>
        <v>3.3664391393324267</v>
      </c>
      <c r="L2" s="584">
        <f t="shared" si="0"/>
        <v>5.1593668333333351</v>
      </c>
      <c r="M2" s="584">
        <f t="shared" si="0"/>
        <v>15.54773497266576</v>
      </c>
      <c r="N2" s="584">
        <f t="shared" si="0"/>
        <v>9.3154757594981739</v>
      </c>
      <c r="O2" s="43"/>
      <c r="P2" s="43"/>
      <c r="Q2" s="43"/>
      <c r="R2" s="43"/>
      <c r="S2" s="43"/>
      <c r="T2" s="43"/>
      <c r="U2" s="43"/>
    </row>
    <row r="3" spans="1:27" s="69" customFormat="1" ht="23.4" x14ac:dyDescent="0.45">
      <c r="A3" s="691" t="s">
        <v>226</v>
      </c>
      <c r="B3" s="693"/>
      <c r="C3" s="556" t="s">
        <v>1026</v>
      </c>
      <c r="D3" s="559"/>
      <c r="E3" s="691" t="s">
        <v>647</v>
      </c>
      <c r="F3" s="692"/>
      <c r="G3" s="692"/>
      <c r="H3" s="693"/>
      <c r="I3" s="584">
        <f>I11</f>
        <v>17.942042499999999</v>
      </c>
      <c r="J3" s="584">
        <f t="shared" ref="J3:N3" si="1">J11</f>
        <v>7.8166463507442385</v>
      </c>
      <c r="K3" s="584">
        <f t="shared" si="1"/>
        <v>3.3664391393324271</v>
      </c>
      <c r="L3" s="584">
        <f t="shared" si="1"/>
        <v>10.125396149255764</v>
      </c>
      <c r="M3" s="584">
        <f t="shared" si="1"/>
        <v>21.308481639332427</v>
      </c>
      <c r="N3" s="584">
        <f t="shared" si="1"/>
        <v>14.599450284033363</v>
      </c>
      <c r="O3" s="43"/>
      <c r="P3" s="43"/>
      <c r="Q3" s="43"/>
      <c r="R3" s="43"/>
      <c r="S3" s="43"/>
      <c r="T3" s="43"/>
      <c r="U3" s="43"/>
    </row>
    <row r="4" spans="1:27" s="69" customFormat="1" ht="23.4" x14ac:dyDescent="0.45">
      <c r="A4" s="691" t="s">
        <v>226</v>
      </c>
      <c r="B4" s="693"/>
      <c r="C4" s="556" t="s">
        <v>1027</v>
      </c>
      <c r="D4" s="559"/>
      <c r="E4" s="691" t="s">
        <v>646</v>
      </c>
      <c r="F4" s="692"/>
      <c r="G4" s="692"/>
      <c r="H4" s="693"/>
      <c r="I4" s="584">
        <f>AVERAGE(I12:I23)</f>
        <v>33.738887897097506</v>
      </c>
      <c r="J4" s="584">
        <f t="shared" ref="J4:N4" si="2">AVERAGE(J12:J23)</f>
        <v>8.1853801797248398</v>
      </c>
      <c r="K4" s="584">
        <f t="shared" si="2"/>
        <v>3.3664391393324276</v>
      </c>
      <c r="L4" s="584">
        <f t="shared" si="2"/>
        <v>25.553507717372668</v>
      </c>
      <c r="M4" s="584">
        <f t="shared" si="2"/>
        <v>37.105327036429934</v>
      </c>
      <c r="N4" s="584">
        <f t="shared" si="2"/>
        <v>30.175082419139315</v>
      </c>
      <c r="O4" s="43"/>
      <c r="P4" s="43"/>
      <c r="Q4" s="43"/>
      <c r="R4" s="43"/>
      <c r="S4" s="43"/>
      <c r="T4" s="43"/>
      <c r="U4" s="43"/>
    </row>
    <row r="5" spans="1:27" s="69" customFormat="1" ht="16.2" thickBot="1" x14ac:dyDescent="0.35">
      <c r="A5" s="691" t="s">
        <v>226</v>
      </c>
      <c r="B5" s="693"/>
      <c r="C5" s="691" t="s">
        <v>1024</v>
      </c>
      <c r="D5" s="693"/>
      <c r="E5" s="691" t="s">
        <v>646</v>
      </c>
      <c r="F5" s="692"/>
      <c r="G5" s="692"/>
      <c r="H5" s="693"/>
      <c r="I5" s="555">
        <f>I41</f>
        <v>41.36058469367039</v>
      </c>
      <c r="J5" s="555">
        <f t="shared" ref="J5:N5" si="3">J41</f>
        <v>8.4874476107147832</v>
      </c>
      <c r="K5" s="555">
        <f t="shared" si="3"/>
        <v>3.3664391393324276</v>
      </c>
      <c r="L5" s="555">
        <f t="shared" si="3"/>
        <v>32.873137082955608</v>
      </c>
      <c r="M5" s="555">
        <f t="shared" si="3"/>
        <v>44.727023833002811</v>
      </c>
      <c r="N5" s="555">
        <f t="shared" si="3"/>
        <v>37.615560904565015</v>
      </c>
      <c r="O5" s="43"/>
      <c r="P5" s="43"/>
      <c r="Q5" s="43"/>
      <c r="R5" s="43"/>
      <c r="S5" s="43"/>
      <c r="T5" s="43"/>
      <c r="U5" s="43"/>
    </row>
    <row r="6" spans="1:27" ht="21" x14ac:dyDescent="0.4">
      <c r="A6" s="744" t="s">
        <v>226</v>
      </c>
      <c r="B6" s="745"/>
      <c r="C6" s="745"/>
      <c r="D6" s="745"/>
      <c r="E6" s="745"/>
      <c r="F6" s="745"/>
      <c r="G6" s="745"/>
      <c r="H6" s="746"/>
      <c r="I6" s="740" t="s">
        <v>983</v>
      </c>
      <c r="J6" s="703"/>
      <c r="K6" s="703"/>
      <c r="L6" s="703"/>
      <c r="M6" s="703"/>
      <c r="N6" s="704"/>
      <c r="O6" s="697" t="s">
        <v>898</v>
      </c>
      <c r="P6" s="698"/>
      <c r="Q6" s="698"/>
      <c r="R6" s="698"/>
      <c r="S6" s="699"/>
      <c r="T6" s="700" t="s">
        <v>915</v>
      </c>
      <c r="U6" s="701"/>
      <c r="V6" s="701"/>
      <c r="W6" s="701"/>
      <c r="X6" s="701"/>
      <c r="Y6" s="701"/>
      <c r="Z6" s="701"/>
      <c r="AA6" s="702"/>
    </row>
    <row r="7" spans="1:27" ht="90" x14ac:dyDescent="0.35">
      <c r="A7" s="424" t="s">
        <v>169</v>
      </c>
      <c r="B7" s="314" t="s">
        <v>170</v>
      </c>
      <c r="C7" s="314" t="s">
        <v>29</v>
      </c>
      <c r="D7" s="314" t="s">
        <v>233</v>
      </c>
      <c r="E7" s="314" t="s">
        <v>234</v>
      </c>
      <c r="F7" s="314" t="s">
        <v>173</v>
      </c>
      <c r="G7" s="314" t="s">
        <v>552</v>
      </c>
      <c r="H7" s="328" t="s">
        <v>901</v>
      </c>
      <c r="I7" s="216" t="s">
        <v>919</v>
      </c>
      <c r="J7" s="173" t="s">
        <v>902</v>
      </c>
      <c r="K7" s="173" t="s">
        <v>1034</v>
      </c>
      <c r="L7" s="173" t="s">
        <v>904</v>
      </c>
      <c r="M7" s="173" t="s">
        <v>905</v>
      </c>
      <c r="N7" s="217" t="s">
        <v>906</v>
      </c>
      <c r="O7" s="322" t="s">
        <v>172</v>
      </c>
      <c r="P7" s="144" t="s">
        <v>902</v>
      </c>
      <c r="Q7" s="143" t="s">
        <v>1035</v>
      </c>
      <c r="R7" s="143" t="s">
        <v>904</v>
      </c>
      <c r="S7" s="323" t="s">
        <v>905</v>
      </c>
      <c r="T7" s="318" t="s">
        <v>907</v>
      </c>
      <c r="U7" s="168" t="s">
        <v>910</v>
      </c>
      <c r="V7" s="168" t="s">
        <v>911</v>
      </c>
      <c r="W7" s="172" t="s">
        <v>908</v>
      </c>
      <c r="X7" s="172" t="s">
        <v>909</v>
      </c>
      <c r="Y7" s="172" t="s">
        <v>917</v>
      </c>
      <c r="Z7" s="172" t="s">
        <v>912</v>
      </c>
      <c r="AA7" s="319" t="s">
        <v>906</v>
      </c>
    </row>
    <row r="8" spans="1:27" ht="18" x14ac:dyDescent="0.35">
      <c r="A8" s="425" t="s">
        <v>357</v>
      </c>
      <c r="B8" s="139" t="s">
        <v>358</v>
      </c>
      <c r="C8" s="139" t="s">
        <v>647</v>
      </c>
      <c r="D8" s="426">
        <v>11.954166666666667</v>
      </c>
      <c r="E8" s="139">
        <v>6.8909999999999982</v>
      </c>
      <c r="F8" s="139">
        <f>D8-E8</f>
        <v>5.0631666666666693</v>
      </c>
      <c r="G8" s="140">
        <f>F8*Inflation!$D$4</f>
        <v>5.1593668333333351</v>
      </c>
      <c r="H8" s="427">
        <v>4.4800000000000004</v>
      </c>
      <c r="I8" s="326">
        <f>O8*Inflation!$D$4</f>
        <v>12.181295833333333</v>
      </c>
      <c r="J8" s="203">
        <f>P8*Inflation!$D$4</f>
        <v>7.0219289999999974</v>
      </c>
      <c r="K8" s="203">
        <f>Q8*Inflation!$D$4</f>
        <v>3.3664391393324271</v>
      </c>
      <c r="L8" s="203">
        <f>R8*Inflation!$D$4</f>
        <v>5.1593668333333351</v>
      </c>
      <c r="M8" s="203">
        <f>S8*Inflation!$D$4</f>
        <v>15.547734972665761</v>
      </c>
      <c r="N8" s="327">
        <f>AA8*Inflation!$D$4</f>
        <v>9.3154757594981739</v>
      </c>
      <c r="O8" s="324">
        <f>D8</f>
        <v>11.954166666666667</v>
      </c>
      <c r="P8" s="11">
        <f>E8</f>
        <v>6.8909999999999982</v>
      </c>
      <c r="Q8" s="11">
        <f>H8*'Labor Adjustment'!$B$10</f>
        <v>3.3036694203458561</v>
      </c>
      <c r="R8" s="11">
        <f>O8-P8</f>
        <v>5.0631666666666693</v>
      </c>
      <c r="S8" s="325">
        <f>O8+Q8</f>
        <v>15.257836087012524</v>
      </c>
      <c r="T8" s="320">
        <v>0.05</v>
      </c>
      <c r="U8" s="159">
        <v>12</v>
      </c>
      <c r="V8" s="159">
        <f>U8/3</f>
        <v>4</v>
      </c>
      <c r="W8" s="139">
        <f>((1+T8)^V8-1)/(T8*(1+T8)^V8)</f>
        <v>3.5459505041623602</v>
      </c>
      <c r="X8" s="139">
        <f>((1+T8)^U8-1)/(T8*(1+T8)^U8)</f>
        <v>8.8632516364488083</v>
      </c>
      <c r="Y8" s="139">
        <f>W8/X8</f>
        <v>0.40007331954563541</v>
      </c>
      <c r="Z8" s="139">
        <f>(P8+Q8)*Y8</f>
        <v>4.0786152366681447</v>
      </c>
      <c r="AA8" s="321">
        <f>Z8+R8</f>
        <v>9.1417819033348131</v>
      </c>
    </row>
    <row r="9" spans="1:27" ht="18" x14ac:dyDescent="0.35">
      <c r="A9" s="425" t="s">
        <v>359</v>
      </c>
      <c r="B9" s="139" t="s">
        <v>360</v>
      </c>
      <c r="C9" s="139" t="s">
        <v>647</v>
      </c>
      <c r="D9" s="426">
        <v>11.954166666666667</v>
      </c>
      <c r="E9" s="139">
        <v>6.8909999999999982</v>
      </c>
      <c r="F9" s="139">
        <f>D9-E9</f>
        <v>5.0631666666666693</v>
      </c>
      <c r="G9" s="140">
        <f>F9*Inflation!$D$4</f>
        <v>5.1593668333333351</v>
      </c>
      <c r="H9" s="427">
        <v>4.4800000000000004</v>
      </c>
      <c r="I9" s="326">
        <f>O9*Inflation!$D$4</f>
        <v>12.181295833333333</v>
      </c>
      <c r="J9" s="203">
        <f>P9*Inflation!$D$4</f>
        <v>7.0219289999999974</v>
      </c>
      <c r="K9" s="203">
        <f>Q9*Inflation!$D$4</f>
        <v>3.3664391393324271</v>
      </c>
      <c r="L9" s="203">
        <f>R9*Inflation!$D$4</f>
        <v>5.1593668333333351</v>
      </c>
      <c r="M9" s="203">
        <f>S9*Inflation!$D$4</f>
        <v>15.547734972665761</v>
      </c>
      <c r="N9" s="327">
        <f>AA9*Inflation!$D$4</f>
        <v>9.3154757594981739</v>
      </c>
      <c r="O9" s="324">
        <f t="shared" ref="O9:O40" si="4">D9</f>
        <v>11.954166666666667</v>
      </c>
      <c r="P9" s="11">
        <f t="shared" ref="P9:P40" si="5">E9</f>
        <v>6.8909999999999982</v>
      </c>
      <c r="Q9" s="11">
        <f>H9*'Labor Adjustment'!$B$10</f>
        <v>3.3036694203458561</v>
      </c>
      <c r="R9" s="11">
        <f t="shared" ref="R9:R40" si="6">O9-P9</f>
        <v>5.0631666666666693</v>
      </c>
      <c r="S9" s="325">
        <f t="shared" ref="S9:S40" si="7">O9+Q9</f>
        <v>15.257836087012524</v>
      </c>
      <c r="T9" s="320">
        <v>0.05</v>
      </c>
      <c r="U9" s="159">
        <v>12</v>
      </c>
      <c r="V9" s="159">
        <f t="shared" ref="V9:V40" si="8">U9/3</f>
        <v>4</v>
      </c>
      <c r="W9" s="139">
        <f t="shared" ref="W9:W40" si="9">((1+T9)^V9-1)/(T9*(1+T9)^V9)</f>
        <v>3.5459505041623602</v>
      </c>
      <c r="X9" s="139">
        <f t="shared" ref="X9:X40" si="10">((1+T9)^U9-1)/(T9*(1+T9)^U9)</f>
        <v>8.8632516364488083</v>
      </c>
      <c r="Y9" s="139">
        <f t="shared" ref="Y9:Y40" si="11">W9/X9</f>
        <v>0.40007331954563541</v>
      </c>
      <c r="Z9" s="139">
        <f t="shared" ref="Z9:Z40" si="12">(P9+Q9)*Y9</f>
        <v>4.0786152366681447</v>
      </c>
      <c r="AA9" s="321">
        <f t="shared" ref="AA9:AA40" si="13">Z9+R9</f>
        <v>9.1417819033348131</v>
      </c>
    </row>
    <row r="10" spans="1:27" ht="18" x14ac:dyDescent="0.35">
      <c r="A10" s="425" t="s">
        <v>361</v>
      </c>
      <c r="B10" s="139" t="s">
        <v>362</v>
      </c>
      <c r="C10" s="139" t="s">
        <v>647</v>
      </c>
      <c r="D10" s="426">
        <v>11.954166666666667</v>
      </c>
      <c r="E10" s="139">
        <v>6.8909999999999982</v>
      </c>
      <c r="F10" s="139">
        <f>D10-E10</f>
        <v>5.0631666666666693</v>
      </c>
      <c r="G10" s="140">
        <f>F10*Inflation!$D$4</f>
        <v>5.1593668333333351</v>
      </c>
      <c r="H10" s="427">
        <v>4.4800000000000004</v>
      </c>
      <c r="I10" s="326">
        <f>O10*Inflation!$D$4</f>
        <v>12.181295833333333</v>
      </c>
      <c r="J10" s="203">
        <f>P10*Inflation!$D$4</f>
        <v>7.0219289999999974</v>
      </c>
      <c r="K10" s="203">
        <f>Q10*Inflation!$D$4</f>
        <v>3.3664391393324271</v>
      </c>
      <c r="L10" s="203">
        <f>R10*Inflation!$D$4</f>
        <v>5.1593668333333351</v>
      </c>
      <c r="M10" s="203">
        <f>S10*Inflation!$D$4</f>
        <v>15.547734972665761</v>
      </c>
      <c r="N10" s="327">
        <f>AA10*Inflation!$D$4</f>
        <v>9.3154757594981739</v>
      </c>
      <c r="O10" s="324">
        <f t="shared" si="4"/>
        <v>11.954166666666667</v>
      </c>
      <c r="P10" s="11">
        <f t="shared" si="5"/>
        <v>6.8909999999999982</v>
      </c>
      <c r="Q10" s="11">
        <f>H10*'Labor Adjustment'!$B$10</f>
        <v>3.3036694203458561</v>
      </c>
      <c r="R10" s="11">
        <f t="shared" si="6"/>
        <v>5.0631666666666693</v>
      </c>
      <c r="S10" s="325">
        <f t="shared" si="7"/>
        <v>15.257836087012524</v>
      </c>
      <c r="T10" s="320">
        <v>0.05</v>
      </c>
      <c r="U10" s="159">
        <v>12</v>
      </c>
      <c r="V10" s="159">
        <f t="shared" si="8"/>
        <v>4</v>
      </c>
      <c r="W10" s="139">
        <f t="shared" si="9"/>
        <v>3.5459505041623602</v>
      </c>
      <c r="X10" s="139">
        <f t="shared" si="10"/>
        <v>8.8632516364488083</v>
      </c>
      <c r="Y10" s="139">
        <f t="shared" si="11"/>
        <v>0.40007331954563541</v>
      </c>
      <c r="Z10" s="139">
        <f t="shared" si="12"/>
        <v>4.0786152366681447</v>
      </c>
      <c r="AA10" s="321">
        <f t="shared" si="13"/>
        <v>9.1417819033348131</v>
      </c>
    </row>
    <row r="11" spans="1:27" s="69" customFormat="1" ht="18" x14ac:dyDescent="0.35">
      <c r="A11" s="425" t="s">
        <v>363</v>
      </c>
      <c r="B11" s="139" t="s">
        <v>641</v>
      </c>
      <c r="C11" s="139" t="s">
        <v>647</v>
      </c>
      <c r="D11" s="426">
        <v>17.607500000000002</v>
      </c>
      <c r="E11" s="139">
        <v>7.6708992647146603</v>
      </c>
      <c r="F11" s="139">
        <f t="shared" ref="F11:F40" si="14">D11-E11</f>
        <v>9.9366007352853423</v>
      </c>
      <c r="G11" s="140">
        <f>F11*Inflation!$D$4</f>
        <v>10.125396149255764</v>
      </c>
      <c r="H11" s="427">
        <v>4.4800000000000004</v>
      </c>
      <c r="I11" s="326">
        <f>O11*Inflation!$D$4</f>
        <v>17.942042499999999</v>
      </c>
      <c r="J11" s="203">
        <f>P11*Inflation!$D$4</f>
        <v>7.8166463507442385</v>
      </c>
      <c r="K11" s="203">
        <f>Q11*Inflation!$D$4</f>
        <v>3.3664391393324271</v>
      </c>
      <c r="L11" s="203">
        <f>R11*Inflation!$D$4</f>
        <v>10.125396149255764</v>
      </c>
      <c r="M11" s="203">
        <f>S11*Inflation!$D$4</f>
        <v>21.308481639332427</v>
      </c>
      <c r="N11" s="327">
        <f>AA11*Inflation!$D$4</f>
        <v>14.599450284033363</v>
      </c>
      <c r="O11" s="324">
        <f t="shared" si="4"/>
        <v>17.607500000000002</v>
      </c>
      <c r="P11" s="11">
        <f t="shared" si="5"/>
        <v>7.6708992647146603</v>
      </c>
      <c r="Q11" s="11">
        <f>H11*'Labor Adjustment'!$B$10</f>
        <v>3.3036694203458561</v>
      </c>
      <c r="R11" s="11">
        <f t="shared" si="6"/>
        <v>9.9366007352853423</v>
      </c>
      <c r="S11" s="325">
        <f t="shared" si="7"/>
        <v>20.911169420345857</v>
      </c>
      <c r="T11" s="320">
        <v>0.05</v>
      </c>
      <c r="U11" s="159">
        <v>12</v>
      </c>
      <c r="V11" s="159">
        <f t="shared" si="8"/>
        <v>4</v>
      </c>
      <c r="W11" s="139">
        <f t="shared" si="9"/>
        <v>3.5459505041623602</v>
      </c>
      <c r="X11" s="139">
        <f t="shared" si="10"/>
        <v>8.8632516364488083</v>
      </c>
      <c r="Y11" s="139">
        <f t="shared" si="11"/>
        <v>0.40007331954563541</v>
      </c>
      <c r="Z11" s="139">
        <f t="shared" si="12"/>
        <v>4.3906321244137398</v>
      </c>
      <c r="AA11" s="321">
        <f t="shared" si="13"/>
        <v>14.327232859699082</v>
      </c>
    </row>
    <row r="12" spans="1:27" s="69" customFormat="1" ht="18" x14ac:dyDescent="0.35">
      <c r="A12" s="425" t="s">
        <v>364</v>
      </c>
      <c r="B12" s="139" t="s">
        <v>365</v>
      </c>
      <c r="C12" s="139" t="s">
        <v>646</v>
      </c>
      <c r="D12" s="428">
        <v>27.330625000000001</v>
      </c>
      <c r="E12" s="139">
        <v>7.6006744485359903</v>
      </c>
      <c r="F12" s="139">
        <f t="shared" si="14"/>
        <v>19.729950551464011</v>
      </c>
      <c r="G12" s="140">
        <f>F12*Inflation!$D$4</f>
        <v>20.104819611941824</v>
      </c>
      <c r="H12" s="427">
        <v>4.4800000000000004</v>
      </c>
      <c r="I12" s="326">
        <f>O12*Inflation!$D$4</f>
        <v>27.849906874999999</v>
      </c>
      <c r="J12" s="203">
        <f>P12*Inflation!$D$4</f>
        <v>7.7450872630581733</v>
      </c>
      <c r="K12" s="203">
        <f>Q12*Inflation!$D$4</f>
        <v>3.3664391393324271</v>
      </c>
      <c r="L12" s="203">
        <f>R12*Inflation!$D$4</f>
        <v>20.104819611941824</v>
      </c>
      <c r="M12" s="203">
        <f>S12*Inflation!$D$4</f>
        <v>31.216346014332427</v>
      </c>
      <c r="N12" s="327">
        <f>AA12*Inflation!$D$4</f>
        <v>24.550244864965205</v>
      </c>
      <c r="O12" s="324">
        <f t="shared" si="4"/>
        <v>27.330625000000001</v>
      </c>
      <c r="P12" s="11">
        <f t="shared" si="5"/>
        <v>7.6006744485359903</v>
      </c>
      <c r="Q12" s="11">
        <f>H12*'Labor Adjustment'!$B$10</f>
        <v>3.3036694203458561</v>
      </c>
      <c r="R12" s="11">
        <f t="shared" si="6"/>
        <v>19.729950551464011</v>
      </c>
      <c r="S12" s="325">
        <f t="shared" si="7"/>
        <v>30.634294420345856</v>
      </c>
      <c r="T12" s="320">
        <v>0.05</v>
      </c>
      <c r="U12" s="159">
        <v>12</v>
      </c>
      <c r="V12" s="159">
        <f t="shared" si="8"/>
        <v>4</v>
      </c>
      <c r="W12" s="139">
        <f t="shared" si="9"/>
        <v>3.5459505041623602</v>
      </c>
      <c r="X12" s="139">
        <f t="shared" si="10"/>
        <v>8.8632516364488083</v>
      </c>
      <c r="Y12" s="139">
        <f t="shared" si="11"/>
        <v>0.40007331954563541</v>
      </c>
      <c r="Z12" s="139">
        <f t="shared" si="12"/>
        <v>4.3625370490906565</v>
      </c>
      <c r="AA12" s="321">
        <f t="shared" si="13"/>
        <v>24.092487600554669</v>
      </c>
    </row>
    <row r="13" spans="1:27" s="69" customFormat="1" ht="18" x14ac:dyDescent="0.35">
      <c r="A13" s="425" t="s">
        <v>366</v>
      </c>
      <c r="B13" s="139" t="s">
        <v>367</v>
      </c>
      <c r="C13" s="139" t="s">
        <v>646</v>
      </c>
      <c r="D13" s="428">
        <v>35.606666666666698</v>
      </c>
      <c r="E13" s="139">
        <v>7.6756744485359896</v>
      </c>
      <c r="F13" s="139">
        <f t="shared" si="14"/>
        <v>27.930992218130708</v>
      </c>
      <c r="G13" s="140">
        <f>F13*Inflation!$D$4</f>
        <v>28.461681070275191</v>
      </c>
      <c r="H13" s="427">
        <v>4.4800000000000004</v>
      </c>
      <c r="I13" s="326">
        <f>O13*Inflation!$D$4</f>
        <v>36.283193333333358</v>
      </c>
      <c r="J13" s="203">
        <f>P13*Inflation!$D$4</f>
        <v>7.8215122630581728</v>
      </c>
      <c r="K13" s="203">
        <f>Q13*Inflation!$D$4</f>
        <v>3.3664391393324271</v>
      </c>
      <c r="L13" s="203">
        <f>R13*Inflation!$D$4</f>
        <v>28.461681070275191</v>
      </c>
      <c r="M13" s="203">
        <f>S13*Inflation!$D$4</f>
        <v>39.649632472665786</v>
      </c>
      <c r="N13" s="327">
        <f>AA13*Inflation!$D$4</f>
        <v>32.937681926744844</v>
      </c>
      <c r="O13" s="324">
        <f t="shared" si="4"/>
        <v>35.606666666666698</v>
      </c>
      <c r="P13" s="11">
        <f t="shared" si="5"/>
        <v>7.6756744485359896</v>
      </c>
      <c r="Q13" s="11">
        <f>H13*'Labor Adjustment'!$B$10</f>
        <v>3.3036694203458561</v>
      </c>
      <c r="R13" s="11">
        <f t="shared" si="6"/>
        <v>27.930992218130708</v>
      </c>
      <c r="S13" s="325">
        <f t="shared" si="7"/>
        <v>38.910336087012553</v>
      </c>
      <c r="T13" s="320">
        <v>0.05</v>
      </c>
      <c r="U13" s="159">
        <v>12</v>
      </c>
      <c r="V13" s="159">
        <f t="shared" si="8"/>
        <v>4</v>
      </c>
      <c r="W13" s="139">
        <f t="shared" si="9"/>
        <v>3.5459505041623602</v>
      </c>
      <c r="X13" s="139">
        <f t="shared" si="10"/>
        <v>8.8632516364488083</v>
      </c>
      <c r="Y13" s="139">
        <f t="shared" si="11"/>
        <v>0.40007331954563541</v>
      </c>
      <c r="Z13" s="139">
        <f t="shared" si="12"/>
        <v>4.3925425480565794</v>
      </c>
      <c r="AA13" s="321">
        <f t="shared" si="13"/>
        <v>32.323534766187286</v>
      </c>
    </row>
    <row r="14" spans="1:27" s="69" customFormat="1" ht="18" x14ac:dyDescent="0.35">
      <c r="A14" s="425" t="s">
        <v>368</v>
      </c>
      <c r="B14" s="139" t="s">
        <v>369</v>
      </c>
      <c r="C14" s="139" t="s">
        <v>646</v>
      </c>
      <c r="D14" s="428">
        <v>30.77</v>
      </c>
      <c r="E14" s="139">
        <v>7.8301744485359901</v>
      </c>
      <c r="F14" s="139">
        <f t="shared" si="14"/>
        <v>22.939825551464011</v>
      </c>
      <c r="G14" s="140">
        <f>F14*Inflation!$D$4</f>
        <v>23.375682236941824</v>
      </c>
      <c r="H14" s="427">
        <v>4.4800000000000004</v>
      </c>
      <c r="I14" s="326">
        <f>O14*Inflation!$D$4</f>
        <v>31.354629999999997</v>
      </c>
      <c r="J14" s="203">
        <f>P14*Inflation!$D$4</f>
        <v>7.9789477630581729</v>
      </c>
      <c r="K14" s="203">
        <f>Q14*Inflation!$D$4</f>
        <v>3.3664391393324271</v>
      </c>
      <c r="L14" s="203">
        <f>R14*Inflation!$D$4</f>
        <v>23.375682236941824</v>
      </c>
      <c r="M14" s="203">
        <f>S14*Inflation!$D$4</f>
        <v>34.721069139332428</v>
      </c>
      <c r="N14" s="327">
        <f>AA14*Inflation!$D$4</f>
        <v>27.914668836510806</v>
      </c>
      <c r="O14" s="324">
        <f t="shared" si="4"/>
        <v>30.77</v>
      </c>
      <c r="P14" s="11">
        <f t="shared" si="5"/>
        <v>7.8301744485359901</v>
      </c>
      <c r="Q14" s="11">
        <f>H14*'Labor Adjustment'!$B$10</f>
        <v>3.3036694203458561</v>
      </c>
      <c r="R14" s="11">
        <f t="shared" si="6"/>
        <v>22.939825551464011</v>
      </c>
      <c r="S14" s="325">
        <f t="shared" si="7"/>
        <v>34.073669420345858</v>
      </c>
      <c r="T14" s="320">
        <v>0.05</v>
      </c>
      <c r="U14" s="159">
        <v>12</v>
      </c>
      <c r="V14" s="159">
        <f t="shared" si="8"/>
        <v>4</v>
      </c>
      <c r="W14" s="139">
        <f t="shared" si="9"/>
        <v>3.5459505041623602</v>
      </c>
      <c r="X14" s="139">
        <f t="shared" si="10"/>
        <v>8.8632516364488083</v>
      </c>
      <c r="Y14" s="139">
        <f t="shared" si="11"/>
        <v>0.40007331954563541</v>
      </c>
      <c r="Z14" s="139">
        <f t="shared" si="12"/>
        <v>4.4543538759263805</v>
      </c>
      <c r="AA14" s="321">
        <f t="shared" si="13"/>
        <v>27.394179427390391</v>
      </c>
    </row>
    <row r="15" spans="1:27" s="69" customFormat="1" ht="18" x14ac:dyDescent="0.35">
      <c r="A15" s="425" t="s">
        <v>370</v>
      </c>
      <c r="B15" s="139" t="s">
        <v>371</v>
      </c>
      <c r="C15" s="139" t="s">
        <v>646</v>
      </c>
      <c r="D15" s="428">
        <v>33.321388888888897</v>
      </c>
      <c r="E15" s="139">
        <v>7.8651744485359902</v>
      </c>
      <c r="F15" s="139">
        <f t="shared" si="14"/>
        <v>25.456214440352909</v>
      </c>
      <c r="G15" s="140">
        <f>F15*Inflation!$D$4</f>
        <v>25.939882514719613</v>
      </c>
      <c r="H15" s="427">
        <v>4.4800000000000004</v>
      </c>
      <c r="I15" s="326">
        <f>O15*Inflation!$D$4</f>
        <v>33.954495277777781</v>
      </c>
      <c r="J15" s="203">
        <f>P15*Inflation!$D$4</f>
        <v>8.0146127630581727</v>
      </c>
      <c r="K15" s="203">
        <f>Q15*Inflation!$D$4</f>
        <v>3.3664391393324271</v>
      </c>
      <c r="L15" s="203">
        <f>R15*Inflation!$D$4</f>
        <v>25.939882514719613</v>
      </c>
      <c r="M15" s="203">
        <f>S15*Inflation!$D$4</f>
        <v>37.320934417110209</v>
      </c>
      <c r="N15" s="327">
        <f>AA15*Inflation!$D$4</f>
        <v>30.493137729230188</v>
      </c>
      <c r="O15" s="324">
        <f t="shared" si="4"/>
        <v>33.321388888888897</v>
      </c>
      <c r="P15" s="11">
        <f t="shared" si="5"/>
        <v>7.8651744485359902</v>
      </c>
      <c r="Q15" s="11">
        <f>H15*'Labor Adjustment'!$B$10</f>
        <v>3.3036694203458561</v>
      </c>
      <c r="R15" s="11">
        <f t="shared" si="6"/>
        <v>25.456214440352909</v>
      </c>
      <c r="S15" s="325">
        <f t="shared" si="7"/>
        <v>36.625058309234753</v>
      </c>
      <c r="T15" s="320">
        <v>0.05</v>
      </c>
      <c r="U15" s="159">
        <v>12</v>
      </c>
      <c r="V15" s="159">
        <f t="shared" si="8"/>
        <v>4</v>
      </c>
      <c r="W15" s="139">
        <f t="shared" si="9"/>
        <v>3.5459505041623602</v>
      </c>
      <c r="X15" s="139">
        <f t="shared" si="10"/>
        <v>8.8632516364488083</v>
      </c>
      <c r="Y15" s="139">
        <f t="shared" si="11"/>
        <v>0.40007331954563541</v>
      </c>
      <c r="Z15" s="139">
        <f t="shared" si="12"/>
        <v>4.468356442110478</v>
      </c>
      <c r="AA15" s="321">
        <f t="shared" si="13"/>
        <v>29.924570882463385</v>
      </c>
    </row>
    <row r="16" spans="1:27" s="69" customFormat="1" ht="18" x14ac:dyDescent="0.35">
      <c r="A16" s="425" t="s">
        <v>372</v>
      </c>
      <c r="B16" s="139" t="s">
        <v>373</v>
      </c>
      <c r="C16" s="139" t="s">
        <v>646</v>
      </c>
      <c r="D16" s="428">
        <v>31.625</v>
      </c>
      <c r="E16" s="139">
        <v>7.9026744485359899</v>
      </c>
      <c r="F16" s="139">
        <f t="shared" si="14"/>
        <v>23.72232555146401</v>
      </c>
      <c r="G16" s="140">
        <f>F16*Inflation!$D$4</f>
        <v>24.173049736941824</v>
      </c>
      <c r="H16" s="427">
        <v>4.4800000000000004</v>
      </c>
      <c r="I16" s="326">
        <f>O16*Inflation!$D$4</f>
        <v>32.225874999999995</v>
      </c>
      <c r="J16" s="203">
        <f>P16*Inflation!$D$4</f>
        <v>8.0528252630581729</v>
      </c>
      <c r="K16" s="203">
        <f>Q16*Inflation!$D$4</f>
        <v>3.3664391393324271</v>
      </c>
      <c r="L16" s="203">
        <f>R16*Inflation!$D$4</f>
        <v>24.173049736941824</v>
      </c>
      <c r="M16" s="203">
        <f>S16*Inflation!$D$4</f>
        <v>35.592314139332423</v>
      </c>
      <c r="N16" s="327">
        <f>AA16*Inflation!$D$4</f>
        <v>28.741592753175539</v>
      </c>
      <c r="O16" s="324">
        <f t="shared" si="4"/>
        <v>31.625</v>
      </c>
      <c r="P16" s="11">
        <f t="shared" si="5"/>
        <v>7.9026744485359899</v>
      </c>
      <c r="Q16" s="11">
        <f>H16*'Labor Adjustment'!$B$10</f>
        <v>3.3036694203458561</v>
      </c>
      <c r="R16" s="11">
        <f t="shared" si="6"/>
        <v>23.72232555146401</v>
      </c>
      <c r="S16" s="325">
        <f t="shared" si="7"/>
        <v>34.928669420345855</v>
      </c>
      <c r="T16" s="320">
        <v>0.05</v>
      </c>
      <c r="U16" s="159">
        <v>12</v>
      </c>
      <c r="V16" s="159">
        <f t="shared" si="8"/>
        <v>4</v>
      </c>
      <c r="W16" s="139">
        <f t="shared" si="9"/>
        <v>3.5459505041623602</v>
      </c>
      <c r="X16" s="139">
        <f t="shared" si="10"/>
        <v>8.8632516364488083</v>
      </c>
      <c r="Y16" s="139">
        <f t="shared" si="11"/>
        <v>0.40007331954563541</v>
      </c>
      <c r="Z16" s="139">
        <f t="shared" si="12"/>
        <v>4.483359191593439</v>
      </c>
      <c r="AA16" s="321">
        <f t="shared" si="13"/>
        <v>28.20568474305745</v>
      </c>
    </row>
    <row r="17" spans="1:27" s="69" customFormat="1" ht="18" x14ac:dyDescent="0.35">
      <c r="A17" s="425" t="s">
        <v>374</v>
      </c>
      <c r="B17" s="139" t="s">
        <v>375</v>
      </c>
      <c r="C17" s="139" t="s">
        <v>646</v>
      </c>
      <c r="D17" s="428">
        <v>33.36</v>
      </c>
      <c r="E17" s="139">
        <v>7.9401744485359904</v>
      </c>
      <c r="F17" s="139">
        <f t="shared" si="14"/>
        <v>25.419825551464008</v>
      </c>
      <c r="G17" s="140">
        <f>F17*Inflation!$D$4</f>
        <v>25.90280223694182</v>
      </c>
      <c r="H17" s="427">
        <v>4.4800000000000004</v>
      </c>
      <c r="I17" s="326">
        <f>O17*Inflation!$D$4</f>
        <v>33.993839999999999</v>
      </c>
      <c r="J17" s="203">
        <f>P17*Inflation!$D$4</f>
        <v>8.0910377630581731</v>
      </c>
      <c r="K17" s="203">
        <f>Q17*Inflation!$D$4</f>
        <v>3.3664391393324271</v>
      </c>
      <c r="L17" s="203">
        <f>R17*Inflation!$D$4</f>
        <v>25.90280223694182</v>
      </c>
      <c r="M17" s="203">
        <f>S17*Inflation!$D$4</f>
        <v>37.36027913933242</v>
      </c>
      <c r="N17" s="327">
        <f>AA17*Inflation!$D$4</f>
        <v>30.486633054898672</v>
      </c>
      <c r="O17" s="324">
        <f t="shared" si="4"/>
        <v>33.36</v>
      </c>
      <c r="P17" s="11">
        <f t="shared" si="5"/>
        <v>7.9401744485359904</v>
      </c>
      <c r="Q17" s="11">
        <f>H17*'Labor Adjustment'!$B$10</f>
        <v>3.3036694203458561</v>
      </c>
      <c r="R17" s="11">
        <f t="shared" si="6"/>
        <v>25.419825551464008</v>
      </c>
      <c r="S17" s="325">
        <f t="shared" si="7"/>
        <v>36.663669420345855</v>
      </c>
      <c r="T17" s="320">
        <v>0.05</v>
      </c>
      <c r="U17" s="159">
        <v>12</v>
      </c>
      <c r="V17" s="159">
        <f t="shared" si="8"/>
        <v>4</v>
      </c>
      <c r="W17" s="139">
        <f t="shared" si="9"/>
        <v>3.5459505041623602</v>
      </c>
      <c r="X17" s="139">
        <f t="shared" si="10"/>
        <v>8.8632516364488083</v>
      </c>
      <c r="Y17" s="139">
        <f t="shared" si="11"/>
        <v>0.40007331954563541</v>
      </c>
      <c r="Z17" s="139">
        <f t="shared" si="12"/>
        <v>4.4983619410764009</v>
      </c>
      <c r="AA17" s="321">
        <f t="shared" si="13"/>
        <v>29.918187492540408</v>
      </c>
    </row>
    <row r="18" spans="1:27" s="69" customFormat="1" ht="18" x14ac:dyDescent="0.35">
      <c r="A18" s="425" t="s">
        <v>376</v>
      </c>
      <c r="B18" s="139" t="s">
        <v>377</v>
      </c>
      <c r="C18" s="139" t="s">
        <v>646</v>
      </c>
      <c r="D18" s="428">
        <v>27.0558333333333</v>
      </c>
      <c r="E18" s="139">
        <v>8.17017444853599</v>
      </c>
      <c r="F18" s="139">
        <f t="shared" si="14"/>
        <v>18.885658884797309</v>
      </c>
      <c r="G18" s="140">
        <f>F18*Inflation!$D$4</f>
        <v>19.244486403608455</v>
      </c>
      <c r="H18" s="427">
        <v>4.4800000000000004</v>
      </c>
      <c r="I18" s="326">
        <f>O18*Inflation!$D$4</f>
        <v>27.569894166666632</v>
      </c>
      <c r="J18" s="203">
        <f>P18*Inflation!$D$4</f>
        <v>8.3254077630581733</v>
      </c>
      <c r="K18" s="203">
        <f>Q18*Inflation!$D$4</f>
        <v>3.3664391393324271</v>
      </c>
      <c r="L18" s="203">
        <f>R18*Inflation!$D$4</f>
        <v>19.244486403608455</v>
      </c>
      <c r="M18" s="203">
        <f>S18*Inflation!$D$4</f>
        <v>30.936333305999057</v>
      </c>
      <c r="N18" s="327">
        <f>AA18*Inflation!$D$4</f>
        <v>23.922082405467219</v>
      </c>
      <c r="O18" s="324">
        <f t="shared" si="4"/>
        <v>27.0558333333333</v>
      </c>
      <c r="P18" s="11">
        <f t="shared" si="5"/>
        <v>8.17017444853599</v>
      </c>
      <c r="Q18" s="11">
        <f>H18*'Labor Adjustment'!$B$10</f>
        <v>3.3036694203458561</v>
      </c>
      <c r="R18" s="11">
        <f t="shared" si="6"/>
        <v>18.885658884797309</v>
      </c>
      <c r="S18" s="325">
        <f t="shared" si="7"/>
        <v>30.359502753679156</v>
      </c>
      <c r="T18" s="320">
        <v>0.05</v>
      </c>
      <c r="U18" s="159">
        <v>12</v>
      </c>
      <c r="V18" s="159">
        <f t="shared" si="8"/>
        <v>4</v>
      </c>
      <c r="W18" s="139">
        <f t="shared" si="9"/>
        <v>3.5459505041623602</v>
      </c>
      <c r="X18" s="139">
        <f t="shared" si="10"/>
        <v>8.8632516364488083</v>
      </c>
      <c r="Y18" s="139">
        <f t="shared" si="11"/>
        <v>0.40007331954563541</v>
      </c>
      <c r="Z18" s="139">
        <f t="shared" si="12"/>
        <v>4.5903788045718965</v>
      </c>
      <c r="AA18" s="321">
        <f t="shared" si="13"/>
        <v>23.476037689369207</v>
      </c>
    </row>
    <row r="19" spans="1:27" s="69" customFormat="1" ht="18" x14ac:dyDescent="0.35">
      <c r="A19" s="425" t="s">
        <v>378</v>
      </c>
      <c r="B19" s="139" t="s">
        <v>379</v>
      </c>
      <c r="C19" s="139" t="s">
        <v>646</v>
      </c>
      <c r="D19" s="428">
        <v>29.7425</v>
      </c>
      <c r="E19" s="139">
        <v>8.2076744485359896</v>
      </c>
      <c r="F19" s="139">
        <f t="shared" si="14"/>
        <v>21.53482555146401</v>
      </c>
      <c r="G19" s="140">
        <f>F19*Inflation!$D$4</f>
        <v>21.943987236941823</v>
      </c>
      <c r="H19" s="427">
        <v>4.4800000000000004</v>
      </c>
      <c r="I19" s="326">
        <f>O19*Inflation!$D$4</f>
        <v>30.307607499999996</v>
      </c>
      <c r="J19" s="203">
        <f>P19*Inflation!$D$4</f>
        <v>8.3636202630581717</v>
      </c>
      <c r="K19" s="203">
        <f>Q19*Inflation!$D$4</f>
        <v>3.3664391393324271</v>
      </c>
      <c r="L19" s="203">
        <f>R19*Inflation!$D$4</f>
        <v>21.943987236941823</v>
      </c>
      <c r="M19" s="203">
        <f>S19*Inflation!$D$4</f>
        <v>33.674046639332424</v>
      </c>
      <c r="N19" s="327">
        <f>AA19*Inflation!$D$4</f>
        <v>26.636871040523726</v>
      </c>
      <c r="O19" s="324">
        <f t="shared" si="4"/>
        <v>29.7425</v>
      </c>
      <c r="P19" s="11">
        <f t="shared" si="5"/>
        <v>8.2076744485359896</v>
      </c>
      <c r="Q19" s="11">
        <f>H19*'Labor Adjustment'!$B$10</f>
        <v>3.3036694203458561</v>
      </c>
      <c r="R19" s="11">
        <f t="shared" si="6"/>
        <v>21.53482555146401</v>
      </c>
      <c r="S19" s="325">
        <f t="shared" si="7"/>
        <v>33.046169420345855</v>
      </c>
      <c r="T19" s="320">
        <v>0.05</v>
      </c>
      <c r="U19" s="159">
        <v>12</v>
      </c>
      <c r="V19" s="159">
        <f t="shared" si="8"/>
        <v>4</v>
      </c>
      <c r="W19" s="139">
        <f t="shared" si="9"/>
        <v>3.5459505041623602</v>
      </c>
      <c r="X19" s="139">
        <f t="shared" si="10"/>
        <v>8.8632516364488083</v>
      </c>
      <c r="Y19" s="139">
        <f t="shared" si="11"/>
        <v>0.40007331954563541</v>
      </c>
      <c r="Z19" s="139">
        <f t="shared" si="12"/>
        <v>4.6053815540548575</v>
      </c>
      <c r="AA19" s="321">
        <f t="shared" si="13"/>
        <v>26.140207105518869</v>
      </c>
    </row>
    <row r="20" spans="1:27" s="69" customFormat="1" ht="18" x14ac:dyDescent="0.35">
      <c r="A20" s="425" t="s">
        <v>380</v>
      </c>
      <c r="B20" s="139" t="s">
        <v>381</v>
      </c>
      <c r="C20" s="139" t="s">
        <v>646</v>
      </c>
      <c r="D20" s="428">
        <v>39.938749999999999</v>
      </c>
      <c r="E20" s="139">
        <v>8.2451744485359892</v>
      </c>
      <c r="F20" s="139">
        <f t="shared" si="14"/>
        <v>31.693575551464008</v>
      </c>
      <c r="G20" s="140">
        <f>F20*Inflation!$D$4</f>
        <v>32.29575348694182</v>
      </c>
      <c r="H20" s="427">
        <v>4.4800000000000004</v>
      </c>
      <c r="I20" s="326">
        <f>O20*Inflation!$D$4</f>
        <v>40.697586249999993</v>
      </c>
      <c r="J20" s="203">
        <f>P20*Inflation!$D$4</f>
        <v>8.4018327630581719</v>
      </c>
      <c r="K20" s="203">
        <f>Q20*Inflation!$D$4</f>
        <v>3.3664391393324271</v>
      </c>
      <c r="L20" s="203">
        <f>R20*Inflation!$D$4</f>
        <v>32.29575348694182</v>
      </c>
      <c r="M20" s="203">
        <f>S20*Inflation!$D$4</f>
        <v>44.064025389332421</v>
      </c>
      <c r="N20" s="327">
        <f>AA20*Inflation!$D$4</f>
        <v>37.00392509224686</v>
      </c>
      <c r="O20" s="324">
        <f t="shared" si="4"/>
        <v>39.938749999999999</v>
      </c>
      <c r="P20" s="11">
        <f t="shared" si="5"/>
        <v>8.2451744485359892</v>
      </c>
      <c r="Q20" s="11">
        <f>H20*'Labor Adjustment'!$B$10</f>
        <v>3.3036694203458561</v>
      </c>
      <c r="R20" s="11">
        <f t="shared" si="6"/>
        <v>31.693575551464008</v>
      </c>
      <c r="S20" s="325">
        <f t="shared" si="7"/>
        <v>43.242419420345854</v>
      </c>
      <c r="T20" s="320">
        <v>0.05</v>
      </c>
      <c r="U20" s="159">
        <v>12</v>
      </c>
      <c r="V20" s="159">
        <f t="shared" si="8"/>
        <v>4</v>
      </c>
      <c r="W20" s="139">
        <f t="shared" si="9"/>
        <v>3.5459505041623602</v>
      </c>
      <c r="X20" s="139">
        <f t="shared" si="10"/>
        <v>8.8632516364488083</v>
      </c>
      <c r="Y20" s="139">
        <f t="shared" si="11"/>
        <v>0.40007331954563541</v>
      </c>
      <c r="Z20" s="139">
        <f t="shared" si="12"/>
        <v>4.6203843035378194</v>
      </c>
      <c r="AA20" s="321">
        <f t="shared" si="13"/>
        <v>36.313959855001826</v>
      </c>
    </row>
    <row r="21" spans="1:27" s="69" customFormat="1" ht="18" x14ac:dyDescent="0.35">
      <c r="A21" s="425" t="s">
        <v>382</v>
      </c>
      <c r="B21" s="139" t="s">
        <v>383</v>
      </c>
      <c r="C21" s="139" t="s">
        <v>646</v>
      </c>
      <c r="D21" s="428">
        <v>34.405833333333298</v>
      </c>
      <c r="E21" s="139">
        <v>8.2826744485359907</v>
      </c>
      <c r="F21" s="139">
        <f t="shared" si="14"/>
        <v>26.123158884797306</v>
      </c>
      <c r="G21" s="140">
        <f>F21*Inflation!$D$4</f>
        <v>26.619498903608452</v>
      </c>
      <c r="H21" s="427">
        <v>4.4800000000000004</v>
      </c>
      <c r="I21" s="326">
        <f>O21*Inflation!$D$4</f>
        <v>35.059544166666626</v>
      </c>
      <c r="J21" s="203">
        <f>P21*Inflation!$D$4</f>
        <v>8.4400452630581739</v>
      </c>
      <c r="K21" s="203">
        <f>Q21*Inflation!$D$4</f>
        <v>3.3664391393324271</v>
      </c>
      <c r="L21" s="203">
        <f>R21*Inflation!$D$4</f>
        <v>26.619498903608452</v>
      </c>
      <c r="M21" s="203">
        <f>S21*Inflation!$D$4</f>
        <v>38.425983305999054</v>
      </c>
      <c r="N21" s="327">
        <f>AA21*Inflation!$D$4</f>
        <v>31.342958310636629</v>
      </c>
      <c r="O21" s="324">
        <f t="shared" si="4"/>
        <v>34.405833333333298</v>
      </c>
      <c r="P21" s="11">
        <f t="shared" si="5"/>
        <v>8.2826744485359907</v>
      </c>
      <c r="Q21" s="11">
        <f>H21*'Labor Adjustment'!$B$10</f>
        <v>3.3036694203458561</v>
      </c>
      <c r="R21" s="11">
        <f t="shared" si="6"/>
        <v>26.123158884797306</v>
      </c>
      <c r="S21" s="325">
        <f t="shared" si="7"/>
        <v>37.709502753679153</v>
      </c>
      <c r="T21" s="320">
        <v>0.05</v>
      </c>
      <c r="U21" s="159">
        <v>12</v>
      </c>
      <c r="V21" s="159">
        <f t="shared" si="8"/>
        <v>4</v>
      </c>
      <c r="W21" s="139">
        <f t="shared" si="9"/>
        <v>3.5459505041623602</v>
      </c>
      <c r="X21" s="139">
        <f t="shared" si="10"/>
        <v>8.8632516364488083</v>
      </c>
      <c r="Y21" s="139">
        <f t="shared" si="11"/>
        <v>0.40007331954563541</v>
      </c>
      <c r="Z21" s="139">
        <f t="shared" si="12"/>
        <v>4.6353870530207812</v>
      </c>
      <c r="AA21" s="321">
        <f t="shared" si="13"/>
        <v>30.758545937818088</v>
      </c>
    </row>
    <row r="22" spans="1:27" s="69" customFormat="1" ht="18" x14ac:dyDescent="0.35">
      <c r="A22" s="425" t="s">
        <v>384</v>
      </c>
      <c r="B22" s="139" t="s">
        <v>385</v>
      </c>
      <c r="C22" s="139" t="s">
        <v>646</v>
      </c>
      <c r="D22" s="428">
        <v>36.715306014300197</v>
      </c>
      <c r="E22" s="139">
        <v>8.3176744485359908</v>
      </c>
      <c r="F22" s="139">
        <f t="shared" si="14"/>
        <v>28.397631565764208</v>
      </c>
      <c r="G22" s="140">
        <f>F22*Inflation!$D$4</f>
        <v>28.937186565513723</v>
      </c>
      <c r="H22" s="427">
        <v>4.4800000000000004</v>
      </c>
      <c r="I22" s="326">
        <f>O22*Inflation!$D$4</f>
        <v>37.412896828571895</v>
      </c>
      <c r="J22" s="203">
        <f>P22*Inflation!$D$4</f>
        <v>8.4757102630581738</v>
      </c>
      <c r="K22" s="203">
        <f>Q22*Inflation!$D$4</f>
        <v>3.3664391393324271</v>
      </c>
      <c r="L22" s="203">
        <f>R22*Inflation!$D$4</f>
        <v>28.937186565513723</v>
      </c>
      <c r="M22" s="203">
        <f>S22*Inflation!$D$4</f>
        <v>40.779335967904323</v>
      </c>
      <c r="N22" s="327">
        <f>AA22*Inflation!$D$4</f>
        <v>33.674914587483492</v>
      </c>
      <c r="O22" s="324">
        <f t="shared" si="4"/>
        <v>36.715306014300197</v>
      </c>
      <c r="P22" s="11">
        <f t="shared" si="5"/>
        <v>8.3176744485359908</v>
      </c>
      <c r="Q22" s="11">
        <f>H22*'Labor Adjustment'!$B$10</f>
        <v>3.3036694203458561</v>
      </c>
      <c r="R22" s="11">
        <f t="shared" si="6"/>
        <v>28.397631565764208</v>
      </c>
      <c r="S22" s="325">
        <f t="shared" si="7"/>
        <v>40.018975434646052</v>
      </c>
      <c r="T22" s="320">
        <v>0.05</v>
      </c>
      <c r="U22" s="159">
        <v>12</v>
      </c>
      <c r="V22" s="159">
        <f t="shared" si="8"/>
        <v>4</v>
      </c>
      <c r="W22" s="139">
        <f t="shared" si="9"/>
        <v>3.5459505041623602</v>
      </c>
      <c r="X22" s="139">
        <f t="shared" si="10"/>
        <v>8.8632516364488083</v>
      </c>
      <c r="Y22" s="139">
        <f t="shared" si="11"/>
        <v>0.40007331954563541</v>
      </c>
      <c r="Z22" s="139">
        <f t="shared" si="12"/>
        <v>4.6493896192048787</v>
      </c>
      <c r="AA22" s="321">
        <f t="shared" si="13"/>
        <v>33.047021184969083</v>
      </c>
    </row>
    <row r="23" spans="1:27" s="69" customFormat="1" ht="18" x14ac:dyDescent="0.35">
      <c r="A23" s="425" t="s">
        <v>386</v>
      </c>
      <c r="B23" s="139" t="s">
        <v>387</v>
      </c>
      <c r="C23" s="139" t="s">
        <v>646</v>
      </c>
      <c r="D23" s="428">
        <v>37.445716748924298</v>
      </c>
      <c r="E23" s="139">
        <v>8.3551744485359905</v>
      </c>
      <c r="F23" s="139">
        <f t="shared" si="14"/>
        <v>29.090542300388307</v>
      </c>
      <c r="G23" s="140">
        <f>F23*Inflation!$D$4</f>
        <v>29.643262604095682</v>
      </c>
      <c r="H23" s="427">
        <v>4.4800000000000004</v>
      </c>
      <c r="I23" s="326">
        <f>O23*Inflation!$D$4</f>
        <v>38.157185367153858</v>
      </c>
      <c r="J23" s="203">
        <f>P23*Inflation!$D$4</f>
        <v>8.513922763058174</v>
      </c>
      <c r="K23" s="203">
        <f>Q23*Inflation!$D$4</f>
        <v>3.3664391393324271</v>
      </c>
      <c r="L23" s="203">
        <f>R23*Inflation!$D$4</f>
        <v>29.643262604095682</v>
      </c>
      <c r="M23" s="203">
        <f>S23*Inflation!$D$4</f>
        <v>41.523624506486279</v>
      </c>
      <c r="N23" s="327">
        <f>AA23*Inflation!$D$4</f>
        <v>34.396278427788594</v>
      </c>
      <c r="O23" s="324">
        <f t="shared" si="4"/>
        <v>37.445716748924298</v>
      </c>
      <c r="P23" s="11">
        <f t="shared" si="5"/>
        <v>8.3551744485359905</v>
      </c>
      <c r="Q23" s="11">
        <f>H23*'Labor Adjustment'!$B$10</f>
        <v>3.3036694203458561</v>
      </c>
      <c r="R23" s="11">
        <f t="shared" si="6"/>
        <v>29.090542300388307</v>
      </c>
      <c r="S23" s="325">
        <f t="shared" si="7"/>
        <v>40.749386169270153</v>
      </c>
      <c r="T23" s="320">
        <v>0.05</v>
      </c>
      <c r="U23" s="159">
        <v>12</v>
      </c>
      <c r="V23" s="159">
        <f t="shared" si="8"/>
        <v>4</v>
      </c>
      <c r="W23" s="139">
        <f t="shared" si="9"/>
        <v>3.5459505041623602</v>
      </c>
      <c r="X23" s="139">
        <f t="shared" si="10"/>
        <v>8.8632516364488083</v>
      </c>
      <c r="Y23" s="139">
        <f t="shared" si="11"/>
        <v>0.40007331954563541</v>
      </c>
      <c r="Z23" s="139">
        <f t="shared" si="12"/>
        <v>4.6643923686878388</v>
      </c>
      <c r="AA23" s="321">
        <f t="shared" si="13"/>
        <v>33.75493466907615</v>
      </c>
    </row>
    <row r="24" spans="1:27" s="69" customFormat="1" ht="18" x14ac:dyDescent="0.35">
      <c r="A24" s="425" t="s">
        <v>388</v>
      </c>
      <c r="B24" s="139" t="s">
        <v>389</v>
      </c>
      <c r="C24" s="139" t="s">
        <v>646</v>
      </c>
      <c r="D24" s="428">
        <v>29.15</v>
      </c>
      <c r="E24" s="139">
        <v>7.6756744485359896</v>
      </c>
      <c r="F24" s="139">
        <f t="shared" si="14"/>
        <v>21.474325551464009</v>
      </c>
      <c r="G24" s="140">
        <f>F24*Inflation!$D$4</f>
        <v>21.882337736941825</v>
      </c>
      <c r="H24" s="427">
        <v>4.4800000000000004</v>
      </c>
      <c r="I24" s="326">
        <f>O24*Inflation!$D$4</f>
        <v>29.703849999999996</v>
      </c>
      <c r="J24" s="203">
        <f>P24*Inflation!$D$4</f>
        <v>7.8215122630581728</v>
      </c>
      <c r="K24" s="203">
        <f>Q24*Inflation!$D$4</f>
        <v>3.3664391393324271</v>
      </c>
      <c r="L24" s="203">
        <f>R24*Inflation!$D$4</f>
        <v>21.882337736941825</v>
      </c>
      <c r="M24" s="203">
        <f>S24*Inflation!$D$4</f>
        <v>33.070289139332424</v>
      </c>
      <c r="N24" s="327">
        <f>AA24*Inflation!$D$4</f>
        <v>26.358338593411478</v>
      </c>
      <c r="O24" s="324">
        <f t="shared" si="4"/>
        <v>29.15</v>
      </c>
      <c r="P24" s="11">
        <f t="shared" si="5"/>
        <v>7.6756744485359896</v>
      </c>
      <c r="Q24" s="11">
        <f>H24*'Labor Adjustment'!$B$10</f>
        <v>3.3036694203458561</v>
      </c>
      <c r="R24" s="11">
        <f t="shared" si="6"/>
        <v>21.474325551464009</v>
      </c>
      <c r="S24" s="325">
        <f t="shared" si="7"/>
        <v>32.453669420345854</v>
      </c>
      <c r="T24" s="320">
        <v>0.05</v>
      </c>
      <c r="U24" s="159">
        <v>12</v>
      </c>
      <c r="V24" s="159">
        <f t="shared" si="8"/>
        <v>4</v>
      </c>
      <c r="W24" s="139">
        <f t="shared" si="9"/>
        <v>3.5459505041623602</v>
      </c>
      <c r="X24" s="139">
        <f t="shared" si="10"/>
        <v>8.8632516364488083</v>
      </c>
      <c r="Y24" s="139">
        <f t="shared" si="11"/>
        <v>0.40007331954563541</v>
      </c>
      <c r="Z24" s="139">
        <f t="shared" si="12"/>
        <v>4.3925425480565794</v>
      </c>
      <c r="AA24" s="321">
        <f t="shared" si="13"/>
        <v>25.866868099520588</v>
      </c>
    </row>
    <row r="25" spans="1:27" s="69" customFormat="1" ht="18" x14ac:dyDescent="0.35">
      <c r="A25" s="425" t="s">
        <v>390</v>
      </c>
      <c r="B25" s="139" t="s">
        <v>391</v>
      </c>
      <c r="C25" s="139" t="s">
        <v>646</v>
      </c>
      <c r="D25" s="428">
        <v>31.53125</v>
      </c>
      <c r="E25" s="139">
        <v>7.8651744485359902</v>
      </c>
      <c r="F25" s="139">
        <f t="shared" si="14"/>
        <v>23.666075551464012</v>
      </c>
      <c r="G25" s="140">
        <f>F25*Inflation!$D$4</f>
        <v>24.115730986941827</v>
      </c>
      <c r="H25" s="427">
        <v>4.4800000000000004</v>
      </c>
      <c r="I25" s="326">
        <f>O25*Inflation!$D$4</f>
        <v>32.130343749999994</v>
      </c>
      <c r="J25" s="203">
        <f>P25*Inflation!$D$4</f>
        <v>8.0146127630581727</v>
      </c>
      <c r="K25" s="203">
        <f>Q25*Inflation!$D$4</f>
        <v>3.3664391393324271</v>
      </c>
      <c r="L25" s="203">
        <f>R25*Inflation!$D$4</f>
        <v>24.115730986941827</v>
      </c>
      <c r="M25" s="203">
        <f>S25*Inflation!$D$4</f>
        <v>35.496782889332422</v>
      </c>
      <c r="N25" s="327">
        <f>AA25*Inflation!$D$4</f>
        <v>28.668986201452402</v>
      </c>
      <c r="O25" s="324">
        <f t="shared" si="4"/>
        <v>31.53125</v>
      </c>
      <c r="P25" s="11">
        <f t="shared" si="5"/>
        <v>7.8651744485359902</v>
      </c>
      <c r="Q25" s="11">
        <f>H25*'Labor Adjustment'!$B$10</f>
        <v>3.3036694203458561</v>
      </c>
      <c r="R25" s="11">
        <f t="shared" si="6"/>
        <v>23.666075551464012</v>
      </c>
      <c r="S25" s="325">
        <f t="shared" si="7"/>
        <v>34.834919420345855</v>
      </c>
      <c r="T25" s="320">
        <v>0.05</v>
      </c>
      <c r="U25" s="159">
        <v>12</v>
      </c>
      <c r="V25" s="159">
        <f t="shared" si="8"/>
        <v>4</v>
      </c>
      <c r="W25" s="139">
        <f t="shared" si="9"/>
        <v>3.5459505041623602</v>
      </c>
      <c r="X25" s="139">
        <f t="shared" si="10"/>
        <v>8.8632516364488083</v>
      </c>
      <c r="Y25" s="139">
        <f t="shared" si="11"/>
        <v>0.40007331954563541</v>
      </c>
      <c r="Z25" s="139">
        <f t="shared" si="12"/>
        <v>4.468356442110478</v>
      </c>
      <c r="AA25" s="321">
        <f t="shared" si="13"/>
        <v>28.134431993574488</v>
      </c>
    </row>
    <row r="26" spans="1:27" s="69" customFormat="1" ht="18" x14ac:dyDescent="0.35">
      <c r="A26" s="425" t="s">
        <v>392</v>
      </c>
      <c r="B26" s="139" t="s">
        <v>393</v>
      </c>
      <c r="C26" s="139" t="s">
        <v>646</v>
      </c>
      <c r="D26" s="428">
        <v>31.231666666666701</v>
      </c>
      <c r="E26" s="139">
        <v>7.9026744485359899</v>
      </c>
      <c r="F26" s="139">
        <f t="shared" si="14"/>
        <v>23.328992218130711</v>
      </c>
      <c r="G26" s="140">
        <f>F26*Inflation!$D$4</f>
        <v>23.772243070275191</v>
      </c>
      <c r="H26" s="427">
        <v>4.4800000000000004</v>
      </c>
      <c r="I26" s="326">
        <f>O26*Inflation!$D$4</f>
        <v>31.825068333333366</v>
      </c>
      <c r="J26" s="203">
        <f>P26*Inflation!$D$4</f>
        <v>8.0528252630581729</v>
      </c>
      <c r="K26" s="203">
        <f>Q26*Inflation!$D$4</f>
        <v>3.3664391393324271</v>
      </c>
      <c r="L26" s="203">
        <f>R26*Inflation!$D$4</f>
        <v>23.772243070275191</v>
      </c>
      <c r="M26" s="203">
        <f>S26*Inflation!$D$4</f>
        <v>35.191507472665798</v>
      </c>
      <c r="N26" s="327">
        <f>AA26*Inflation!$D$4</f>
        <v>28.340786086508906</v>
      </c>
      <c r="O26" s="324">
        <f t="shared" si="4"/>
        <v>31.231666666666701</v>
      </c>
      <c r="P26" s="11">
        <f t="shared" si="5"/>
        <v>7.9026744485359899</v>
      </c>
      <c r="Q26" s="11">
        <f>H26*'Labor Adjustment'!$B$10</f>
        <v>3.3036694203458561</v>
      </c>
      <c r="R26" s="11">
        <f t="shared" si="6"/>
        <v>23.328992218130711</v>
      </c>
      <c r="S26" s="325">
        <f t="shared" si="7"/>
        <v>34.53533608701256</v>
      </c>
      <c r="T26" s="320">
        <v>0.05</v>
      </c>
      <c r="U26" s="159">
        <v>12</v>
      </c>
      <c r="V26" s="159">
        <f t="shared" si="8"/>
        <v>4</v>
      </c>
      <c r="W26" s="139">
        <f t="shared" si="9"/>
        <v>3.5459505041623602</v>
      </c>
      <c r="X26" s="139">
        <f t="shared" si="10"/>
        <v>8.8632516364488083</v>
      </c>
      <c r="Y26" s="139">
        <f t="shared" si="11"/>
        <v>0.40007331954563541</v>
      </c>
      <c r="Z26" s="139">
        <f t="shared" si="12"/>
        <v>4.483359191593439</v>
      </c>
      <c r="AA26" s="321">
        <f t="shared" si="13"/>
        <v>27.812351409724151</v>
      </c>
    </row>
    <row r="27" spans="1:27" s="69" customFormat="1" ht="18" x14ac:dyDescent="0.35">
      <c r="A27" s="425" t="s">
        <v>394</v>
      </c>
      <c r="B27" s="139" t="s">
        <v>395</v>
      </c>
      <c r="C27" s="139" t="s">
        <v>646</v>
      </c>
      <c r="D27" s="428">
        <v>29.563333333333301</v>
      </c>
      <c r="E27" s="139">
        <v>7.9401744485359904</v>
      </c>
      <c r="F27" s="139">
        <f t="shared" si="14"/>
        <v>21.623158884797309</v>
      </c>
      <c r="G27" s="140">
        <f>F27*Inflation!$D$4</f>
        <v>22.033998903608456</v>
      </c>
      <c r="H27" s="427">
        <v>4.4800000000000004</v>
      </c>
      <c r="I27" s="326">
        <f>O27*Inflation!$D$4</f>
        <v>30.125036666666631</v>
      </c>
      <c r="J27" s="203">
        <f>P27*Inflation!$D$4</f>
        <v>8.0910377630581731</v>
      </c>
      <c r="K27" s="203">
        <f>Q27*Inflation!$D$4</f>
        <v>3.3664391393324271</v>
      </c>
      <c r="L27" s="203">
        <f>R27*Inflation!$D$4</f>
        <v>22.033998903608456</v>
      </c>
      <c r="M27" s="203">
        <f>S27*Inflation!$D$4</f>
        <v>33.491475805999059</v>
      </c>
      <c r="N27" s="327">
        <f>AA27*Inflation!$D$4</f>
        <v>26.617829721565307</v>
      </c>
      <c r="O27" s="324">
        <f t="shared" si="4"/>
        <v>29.563333333333301</v>
      </c>
      <c r="P27" s="11">
        <f t="shared" si="5"/>
        <v>7.9401744485359904</v>
      </c>
      <c r="Q27" s="11">
        <f>H27*'Labor Adjustment'!$B$10</f>
        <v>3.3036694203458561</v>
      </c>
      <c r="R27" s="11">
        <f t="shared" si="6"/>
        <v>21.623158884797309</v>
      </c>
      <c r="S27" s="325">
        <f t="shared" si="7"/>
        <v>32.867002753679159</v>
      </c>
      <c r="T27" s="320">
        <v>0.05</v>
      </c>
      <c r="U27" s="159">
        <v>12</v>
      </c>
      <c r="V27" s="159">
        <f t="shared" si="8"/>
        <v>4</v>
      </c>
      <c r="W27" s="139">
        <f t="shared" si="9"/>
        <v>3.5459505041623602</v>
      </c>
      <c r="X27" s="139">
        <f t="shared" si="10"/>
        <v>8.8632516364488083</v>
      </c>
      <c r="Y27" s="139">
        <f t="shared" si="11"/>
        <v>0.40007331954563541</v>
      </c>
      <c r="Z27" s="139">
        <f t="shared" si="12"/>
        <v>4.4983619410764009</v>
      </c>
      <c r="AA27" s="321">
        <f t="shared" si="13"/>
        <v>26.121520825873709</v>
      </c>
    </row>
    <row r="28" spans="1:27" s="69" customFormat="1" ht="18" x14ac:dyDescent="0.35">
      <c r="A28" s="425" t="s">
        <v>396</v>
      </c>
      <c r="B28" s="139" t="s">
        <v>397</v>
      </c>
      <c r="C28" s="139" t="s">
        <v>646</v>
      </c>
      <c r="D28" s="428">
        <v>26.9658333333333</v>
      </c>
      <c r="E28" s="139">
        <v>8.17017444853599</v>
      </c>
      <c r="F28" s="139">
        <f t="shared" si="14"/>
        <v>18.795658884797312</v>
      </c>
      <c r="G28" s="140">
        <f>F28*Inflation!$D$4</f>
        <v>19.15277640360846</v>
      </c>
      <c r="H28" s="427">
        <v>4.4800000000000004</v>
      </c>
      <c r="I28" s="326">
        <f>O28*Inflation!$D$4</f>
        <v>27.47818416666663</v>
      </c>
      <c r="J28" s="203">
        <f>P28*Inflation!$D$4</f>
        <v>8.3254077630581733</v>
      </c>
      <c r="K28" s="203">
        <f>Q28*Inflation!$D$4</f>
        <v>3.3664391393324271</v>
      </c>
      <c r="L28" s="203">
        <f>R28*Inflation!$D$4</f>
        <v>19.15277640360846</v>
      </c>
      <c r="M28" s="203">
        <f>S28*Inflation!$D$4</f>
        <v>30.844623305999058</v>
      </c>
      <c r="N28" s="327">
        <f>AA28*Inflation!$D$4</f>
        <v>23.830372405467223</v>
      </c>
      <c r="O28" s="324">
        <f t="shared" si="4"/>
        <v>26.9658333333333</v>
      </c>
      <c r="P28" s="11">
        <f t="shared" si="5"/>
        <v>8.17017444853599</v>
      </c>
      <c r="Q28" s="11">
        <f>H28*'Labor Adjustment'!$B$10</f>
        <v>3.3036694203458561</v>
      </c>
      <c r="R28" s="11">
        <f t="shared" si="6"/>
        <v>18.795658884797312</v>
      </c>
      <c r="S28" s="325">
        <f t="shared" si="7"/>
        <v>30.269502753679156</v>
      </c>
      <c r="T28" s="320">
        <v>0.05</v>
      </c>
      <c r="U28" s="159">
        <v>12</v>
      </c>
      <c r="V28" s="159">
        <f t="shared" si="8"/>
        <v>4</v>
      </c>
      <c r="W28" s="139">
        <f t="shared" si="9"/>
        <v>3.5459505041623602</v>
      </c>
      <c r="X28" s="139">
        <f t="shared" si="10"/>
        <v>8.8632516364488083</v>
      </c>
      <c r="Y28" s="139">
        <f t="shared" si="11"/>
        <v>0.40007331954563541</v>
      </c>
      <c r="Z28" s="139">
        <f t="shared" si="12"/>
        <v>4.5903788045718965</v>
      </c>
      <c r="AA28" s="321">
        <f t="shared" si="13"/>
        <v>23.386037689369211</v>
      </c>
    </row>
    <row r="29" spans="1:27" s="69" customFormat="1" ht="18" x14ac:dyDescent="0.35">
      <c r="A29" s="425" t="s">
        <v>398</v>
      </c>
      <c r="B29" s="139" t="s">
        <v>642</v>
      </c>
      <c r="C29" s="139" t="s">
        <v>646</v>
      </c>
      <c r="D29" s="428">
        <v>35.115833333333299</v>
      </c>
      <c r="E29" s="139">
        <v>8.2076744485359896</v>
      </c>
      <c r="F29" s="139">
        <f t="shared" si="14"/>
        <v>26.908158884797309</v>
      </c>
      <c r="G29" s="140">
        <f>F29*Inflation!$D$4</f>
        <v>27.419413903608454</v>
      </c>
      <c r="H29" s="427">
        <v>4.4800000000000004</v>
      </c>
      <c r="I29" s="326">
        <f>O29*Inflation!$D$4</f>
        <v>35.783034166666631</v>
      </c>
      <c r="J29" s="203">
        <f>P29*Inflation!$D$4</f>
        <v>8.3636202630581717</v>
      </c>
      <c r="K29" s="203">
        <f>Q29*Inflation!$D$4</f>
        <v>3.3664391393324271</v>
      </c>
      <c r="L29" s="203">
        <f>R29*Inflation!$D$4</f>
        <v>27.419413903608454</v>
      </c>
      <c r="M29" s="203">
        <f>S29*Inflation!$D$4</f>
        <v>39.149473305999052</v>
      </c>
      <c r="N29" s="327">
        <f>AA29*Inflation!$D$4</f>
        <v>32.112297707190358</v>
      </c>
      <c r="O29" s="324">
        <f t="shared" si="4"/>
        <v>35.115833333333299</v>
      </c>
      <c r="P29" s="11">
        <f t="shared" si="5"/>
        <v>8.2076744485359896</v>
      </c>
      <c r="Q29" s="11">
        <f>H29*'Labor Adjustment'!$B$10</f>
        <v>3.3036694203458561</v>
      </c>
      <c r="R29" s="11">
        <f t="shared" si="6"/>
        <v>26.908158884797309</v>
      </c>
      <c r="S29" s="325">
        <f t="shared" si="7"/>
        <v>38.419502753679154</v>
      </c>
      <c r="T29" s="320">
        <v>0.05</v>
      </c>
      <c r="U29" s="159">
        <v>12</v>
      </c>
      <c r="V29" s="159">
        <f t="shared" si="8"/>
        <v>4</v>
      </c>
      <c r="W29" s="139">
        <f t="shared" si="9"/>
        <v>3.5459505041623602</v>
      </c>
      <c r="X29" s="139">
        <f t="shared" si="10"/>
        <v>8.8632516364488083</v>
      </c>
      <c r="Y29" s="139">
        <f t="shared" si="11"/>
        <v>0.40007331954563541</v>
      </c>
      <c r="Z29" s="139">
        <f t="shared" si="12"/>
        <v>4.6053815540548575</v>
      </c>
      <c r="AA29" s="321">
        <f t="shared" si="13"/>
        <v>31.513540438852168</v>
      </c>
    </row>
    <row r="30" spans="1:27" s="69" customFormat="1" ht="18" x14ac:dyDescent="0.35">
      <c r="A30" s="425" t="s">
        <v>399</v>
      </c>
      <c r="B30" s="139" t="s">
        <v>643</v>
      </c>
      <c r="C30" s="139" t="s">
        <v>646</v>
      </c>
      <c r="D30" s="428">
        <v>31.1154166666667</v>
      </c>
      <c r="E30" s="139">
        <v>8.2451744485359892</v>
      </c>
      <c r="F30" s="139">
        <f t="shared" si="14"/>
        <v>22.870242218130713</v>
      </c>
      <c r="G30" s="140">
        <f>F30*Inflation!$D$4</f>
        <v>23.304776820275194</v>
      </c>
      <c r="H30" s="427">
        <v>4.4800000000000004</v>
      </c>
      <c r="I30" s="326">
        <f>O30*Inflation!$D$4</f>
        <v>31.706609583333364</v>
      </c>
      <c r="J30" s="203">
        <f>P30*Inflation!$D$4</f>
        <v>8.4018327630581719</v>
      </c>
      <c r="K30" s="203">
        <f>Q30*Inflation!$D$4</f>
        <v>3.3664391393324271</v>
      </c>
      <c r="L30" s="203">
        <f>R30*Inflation!$D$4</f>
        <v>23.304776820275194</v>
      </c>
      <c r="M30" s="203">
        <f>S30*Inflation!$D$4</f>
        <v>35.073048722665796</v>
      </c>
      <c r="N30" s="327">
        <f>AA30*Inflation!$D$4</f>
        <v>28.01294842558023</v>
      </c>
      <c r="O30" s="324">
        <f t="shared" si="4"/>
        <v>31.1154166666667</v>
      </c>
      <c r="P30" s="11">
        <f t="shared" si="5"/>
        <v>8.2451744485359892</v>
      </c>
      <c r="Q30" s="11">
        <f>H30*'Labor Adjustment'!$B$10</f>
        <v>3.3036694203458561</v>
      </c>
      <c r="R30" s="11">
        <f t="shared" si="6"/>
        <v>22.870242218130713</v>
      </c>
      <c r="S30" s="325">
        <f t="shared" si="7"/>
        <v>34.419086087012559</v>
      </c>
      <c r="T30" s="320">
        <v>0.05</v>
      </c>
      <c r="U30" s="159">
        <v>12</v>
      </c>
      <c r="V30" s="159">
        <f t="shared" si="8"/>
        <v>4</v>
      </c>
      <c r="W30" s="139">
        <f t="shared" si="9"/>
        <v>3.5459505041623602</v>
      </c>
      <c r="X30" s="139">
        <f t="shared" si="10"/>
        <v>8.8632516364488083</v>
      </c>
      <c r="Y30" s="139">
        <f t="shared" si="11"/>
        <v>0.40007331954563541</v>
      </c>
      <c r="Z30" s="139">
        <f t="shared" si="12"/>
        <v>4.6203843035378194</v>
      </c>
      <c r="AA30" s="321">
        <f t="shared" si="13"/>
        <v>27.490626521668531</v>
      </c>
    </row>
    <row r="31" spans="1:27" s="69" customFormat="1" ht="18" x14ac:dyDescent="0.35">
      <c r="A31" s="425" t="s">
        <v>400</v>
      </c>
      <c r="B31" s="139" t="s">
        <v>644</v>
      </c>
      <c r="C31" s="139" t="s">
        <v>646</v>
      </c>
      <c r="D31" s="428">
        <v>31.178333333333299</v>
      </c>
      <c r="E31" s="139">
        <v>8.2826744485359907</v>
      </c>
      <c r="F31" s="139">
        <f t="shared" si="14"/>
        <v>22.895658884797307</v>
      </c>
      <c r="G31" s="140">
        <f>F31*Inflation!$D$4</f>
        <v>23.330676403608454</v>
      </c>
      <c r="H31" s="427">
        <v>4.4800000000000004</v>
      </c>
      <c r="I31" s="326">
        <f>O31*Inflation!$D$4</f>
        <v>31.770721666666628</v>
      </c>
      <c r="J31" s="203">
        <f>P31*Inflation!$D$4</f>
        <v>8.4400452630581739</v>
      </c>
      <c r="K31" s="203">
        <f>Q31*Inflation!$D$4</f>
        <v>3.3664391393324271</v>
      </c>
      <c r="L31" s="203">
        <f>R31*Inflation!$D$4</f>
        <v>23.330676403608454</v>
      </c>
      <c r="M31" s="203">
        <f>S31*Inflation!$D$4</f>
        <v>35.137160805999052</v>
      </c>
      <c r="N31" s="327">
        <f>AA31*Inflation!$D$4</f>
        <v>28.05413581063663</v>
      </c>
      <c r="O31" s="324">
        <f t="shared" si="4"/>
        <v>31.178333333333299</v>
      </c>
      <c r="P31" s="11">
        <f t="shared" si="5"/>
        <v>8.2826744485359907</v>
      </c>
      <c r="Q31" s="11">
        <f>H31*'Labor Adjustment'!$B$10</f>
        <v>3.3036694203458561</v>
      </c>
      <c r="R31" s="11">
        <f t="shared" si="6"/>
        <v>22.895658884797307</v>
      </c>
      <c r="S31" s="325">
        <f t="shared" si="7"/>
        <v>34.482002753679154</v>
      </c>
      <c r="T31" s="320">
        <v>0.05</v>
      </c>
      <c r="U31" s="159">
        <v>12</v>
      </c>
      <c r="V31" s="159">
        <f t="shared" si="8"/>
        <v>4</v>
      </c>
      <c r="W31" s="139">
        <f t="shared" si="9"/>
        <v>3.5459505041623602</v>
      </c>
      <c r="X31" s="139">
        <f t="shared" si="10"/>
        <v>8.8632516364488083</v>
      </c>
      <c r="Y31" s="139">
        <f t="shared" si="11"/>
        <v>0.40007331954563541</v>
      </c>
      <c r="Z31" s="139">
        <f t="shared" si="12"/>
        <v>4.6353870530207812</v>
      </c>
      <c r="AA31" s="321">
        <f t="shared" si="13"/>
        <v>27.531045937818089</v>
      </c>
    </row>
    <row r="32" spans="1:27" s="69" customFormat="1" ht="18" x14ac:dyDescent="0.35">
      <c r="A32" s="425" t="s">
        <v>401</v>
      </c>
      <c r="B32" s="139" t="s">
        <v>645</v>
      </c>
      <c r="C32" s="139" t="s">
        <v>646</v>
      </c>
      <c r="D32" s="428">
        <v>34.11</v>
      </c>
      <c r="E32" s="139">
        <v>8.3176744485359908</v>
      </c>
      <c r="F32" s="139">
        <f t="shared" si="14"/>
        <v>25.79232555146401</v>
      </c>
      <c r="G32" s="140">
        <f>F32*Inflation!$D$4</f>
        <v>26.282379736941824</v>
      </c>
      <c r="H32" s="427">
        <v>4.4800000000000004</v>
      </c>
      <c r="I32" s="326">
        <f>O32*Inflation!$D$4</f>
        <v>34.758089999999996</v>
      </c>
      <c r="J32" s="203">
        <f>P32*Inflation!$D$4</f>
        <v>8.4757102630581738</v>
      </c>
      <c r="K32" s="203">
        <f>Q32*Inflation!$D$4</f>
        <v>3.3664391393324271</v>
      </c>
      <c r="L32" s="203">
        <f>R32*Inflation!$D$4</f>
        <v>26.282379736941824</v>
      </c>
      <c r="M32" s="203">
        <f>S32*Inflation!$D$4</f>
        <v>38.124529139332424</v>
      </c>
      <c r="N32" s="327">
        <f>AA32*Inflation!$D$4</f>
        <v>31.020107758911596</v>
      </c>
      <c r="O32" s="324">
        <f t="shared" si="4"/>
        <v>34.11</v>
      </c>
      <c r="P32" s="11">
        <f t="shared" si="5"/>
        <v>8.3176744485359908</v>
      </c>
      <c r="Q32" s="11">
        <f>H32*'Labor Adjustment'!$B$10</f>
        <v>3.3036694203458561</v>
      </c>
      <c r="R32" s="11">
        <f t="shared" si="6"/>
        <v>25.79232555146401</v>
      </c>
      <c r="S32" s="325">
        <f t="shared" si="7"/>
        <v>37.413669420345855</v>
      </c>
      <c r="T32" s="320">
        <v>0.05</v>
      </c>
      <c r="U32" s="159">
        <v>12</v>
      </c>
      <c r="V32" s="159">
        <f t="shared" si="8"/>
        <v>4</v>
      </c>
      <c r="W32" s="139">
        <f t="shared" si="9"/>
        <v>3.5459505041623602</v>
      </c>
      <c r="X32" s="139">
        <f t="shared" si="10"/>
        <v>8.8632516364488083</v>
      </c>
      <c r="Y32" s="139">
        <f t="shared" si="11"/>
        <v>0.40007331954563541</v>
      </c>
      <c r="Z32" s="139">
        <f t="shared" si="12"/>
        <v>4.6493896192048787</v>
      </c>
      <c r="AA32" s="321">
        <f t="shared" si="13"/>
        <v>30.441715170668889</v>
      </c>
    </row>
    <row r="33" spans="1:27" s="69" customFormat="1" ht="18" x14ac:dyDescent="0.35">
      <c r="A33" s="425" t="s">
        <v>402</v>
      </c>
      <c r="B33" s="139" t="s">
        <v>403</v>
      </c>
      <c r="C33" s="139" t="s">
        <v>646</v>
      </c>
      <c r="D33" s="428">
        <v>38.553333333333299</v>
      </c>
      <c r="E33" s="139">
        <v>8.3551744485359905</v>
      </c>
      <c r="F33" s="139">
        <f t="shared" si="14"/>
        <v>30.198158884797309</v>
      </c>
      <c r="G33" s="140">
        <f>F33*Inflation!$D$4</f>
        <v>30.771923903608453</v>
      </c>
      <c r="H33" s="427">
        <v>4.4800000000000004</v>
      </c>
      <c r="I33" s="326">
        <f>O33*Inflation!$D$4</f>
        <v>39.285846666666629</v>
      </c>
      <c r="J33" s="203">
        <f>P33*Inflation!$D$4</f>
        <v>8.513922763058174</v>
      </c>
      <c r="K33" s="203">
        <f>Q33*Inflation!$D$4</f>
        <v>3.3664391393324271</v>
      </c>
      <c r="L33" s="203">
        <f>R33*Inflation!$D$4</f>
        <v>30.771923903608453</v>
      </c>
      <c r="M33" s="203">
        <f>S33*Inflation!$D$4</f>
        <v>42.652285805999057</v>
      </c>
      <c r="N33" s="327">
        <f>AA33*Inflation!$D$4</f>
        <v>35.524939727301366</v>
      </c>
      <c r="O33" s="324">
        <f t="shared" si="4"/>
        <v>38.553333333333299</v>
      </c>
      <c r="P33" s="11">
        <f t="shared" si="5"/>
        <v>8.3551744485359905</v>
      </c>
      <c r="Q33" s="11">
        <f>H33*'Labor Adjustment'!$B$10</f>
        <v>3.3036694203458561</v>
      </c>
      <c r="R33" s="11">
        <f t="shared" si="6"/>
        <v>30.198158884797309</v>
      </c>
      <c r="S33" s="325">
        <f t="shared" si="7"/>
        <v>41.857002753679154</v>
      </c>
      <c r="T33" s="320">
        <v>0.05</v>
      </c>
      <c r="U33" s="159">
        <v>12</v>
      </c>
      <c r="V33" s="159">
        <f t="shared" si="8"/>
        <v>4</v>
      </c>
      <c r="W33" s="139">
        <f t="shared" si="9"/>
        <v>3.5459505041623602</v>
      </c>
      <c r="X33" s="139">
        <f t="shared" si="10"/>
        <v>8.8632516364488083</v>
      </c>
      <c r="Y33" s="139">
        <f t="shared" si="11"/>
        <v>0.40007331954563541</v>
      </c>
      <c r="Z33" s="139">
        <f t="shared" si="12"/>
        <v>4.6643923686878388</v>
      </c>
      <c r="AA33" s="321">
        <f t="shared" si="13"/>
        <v>34.862551253485151</v>
      </c>
    </row>
    <row r="34" spans="1:27" ht="18" x14ac:dyDescent="0.35">
      <c r="A34" s="425" t="s">
        <v>404</v>
      </c>
      <c r="B34" s="139" t="s">
        <v>405</v>
      </c>
      <c r="C34" s="139" t="s">
        <v>646</v>
      </c>
      <c r="D34" s="428">
        <v>45.965000000000003</v>
      </c>
      <c r="E34" s="139">
        <v>8.5096744485359892</v>
      </c>
      <c r="F34" s="139">
        <f t="shared" si="14"/>
        <v>37.455325551464014</v>
      </c>
      <c r="G34" s="140">
        <f>F34*Inflation!$D$4</f>
        <v>38.166976736941827</v>
      </c>
      <c r="H34" s="427">
        <v>4.4800000000000004</v>
      </c>
      <c r="I34" s="326">
        <f>O34*Inflation!$D$4</f>
        <v>46.838335000000001</v>
      </c>
      <c r="J34" s="203">
        <f>P34*Inflation!$D$4</f>
        <v>8.6713582630581723</v>
      </c>
      <c r="K34" s="203">
        <f>Q34*Inflation!$D$4</f>
        <v>3.3664391393324271</v>
      </c>
      <c r="L34" s="203">
        <f>R34*Inflation!$D$4</f>
        <v>38.166976736941827</v>
      </c>
      <c r="M34" s="203">
        <f>S34*Inflation!$D$4</f>
        <v>50.204774139332429</v>
      </c>
      <c r="N34" s="327">
        <f>AA34*Inflation!$D$4</f>
        <v>42.982978303734065</v>
      </c>
      <c r="O34" s="324">
        <f t="shared" si="4"/>
        <v>45.965000000000003</v>
      </c>
      <c r="P34" s="11">
        <f t="shared" si="5"/>
        <v>8.5096744485359892</v>
      </c>
      <c r="Q34" s="11">
        <f>H34*'Labor Adjustment'!$B$10</f>
        <v>3.3036694203458561</v>
      </c>
      <c r="R34" s="11">
        <f t="shared" si="6"/>
        <v>37.455325551464014</v>
      </c>
      <c r="S34" s="325">
        <f t="shared" si="7"/>
        <v>49.268669420345859</v>
      </c>
      <c r="T34" s="320">
        <v>0.05</v>
      </c>
      <c r="U34" s="159">
        <v>12</v>
      </c>
      <c r="V34" s="159">
        <f t="shared" si="8"/>
        <v>4</v>
      </c>
      <c r="W34" s="139">
        <f t="shared" si="9"/>
        <v>3.5459505041623602</v>
      </c>
      <c r="X34" s="139">
        <f t="shared" si="10"/>
        <v>8.8632516364488083</v>
      </c>
      <c r="Y34" s="139">
        <f t="shared" si="11"/>
        <v>0.40007331954563541</v>
      </c>
      <c r="Z34" s="139">
        <f t="shared" si="12"/>
        <v>4.7262036965576391</v>
      </c>
      <c r="AA34" s="321">
        <f t="shared" si="13"/>
        <v>42.181529248021654</v>
      </c>
    </row>
    <row r="35" spans="1:27" s="69" customFormat="1" ht="18" x14ac:dyDescent="0.35">
      <c r="A35" s="425" t="s">
        <v>406</v>
      </c>
      <c r="B35" s="139" t="s">
        <v>407</v>
      </c>
      <c r="C35" s="139" t="s">
        <v>646</v>
      </c>
      <c r="D35" s="428">
        <v>47.424578709112097</v>
      </c>
      <c r="E35" s="139">
        <v>8.5471744485359906</v>
      </c>
      <c r="F35" s="139">
        <f t="shared" si="14"/>
        <v>38.877404260576107</v>
      </c>
      <c r="G35" s="140">
        <f>F35*Inflation!$D$4</f>
        <v>39.616074941527046</v>
      </c>
      <c r="H35" s="427">
        <v>4.4800000000000004</v>
      </c>
      <c r="I35" s="326">
        <f>O35*Inflation!$D$4</f>
        <v>48.32564570458522</v>
      </c>
      <c r="J35" s="203">
        <f>P35*Inflation!$D$4</f>
        <v>8.7095707630581742</v>
      </c>
      <c r="K35" s="203">
        <f>Q35*Inflation!$D$4</f>
        <v>3.3664391393324271</v>
      </c>
      <c r="L35" s="203">
        <f>R35*Inflation!$D$4</f>
        <v>39.616074941527046</v>
      </c>
      <c r="M35" s="203">
        <f>S35*Inflation!$D$4</f>
        <v>51.692084843917648</v>
      </c>
      <c r="N35" s="327">
        <f>AA35*Inflation!$D$4</f>
        <v>44.447364310042417</v>
      </c>
      <c r="O35" s="324">
        <f t="shared" si="4"/>
        <v>47.424578709112097</v>
      </c>
      <c r="P35" s="11">
        <f t="shared" si="5"/>
        <v>8.5471744485359906</v>
      </c>
      <c r="Q35" s="11">
        <f>H35*'Labor Adjustment'!$B$10</f>
        <v>3.3036694203458561</v>
      </c>
      <c r="R35" s="11">
        <f t="shared" si="6"/>
        <v>38.877404260576107</v>
      </c>
      <c r="S35" s="325">
        <f t="shared" si="7"/>
        <v>50.728248129457953</v>
      </c>
      <c r="T35" s="320">
        <v>0.05</v>
      </c>
      <c r="U35" s="159">
        <v>12</v>
      </c>
      <c r="V35" s="159">
        <f t="shared" si="8"/>
        <v>4</v>
      </c>
      <c r="W35" s="139">
        <f t="shared" si="9"/>
        <v>3.5459505041623602</v>
      </c>
      <c r="X35" s="139">
        <f t="shared" si="10"/>
        <v>8.8632516364488083</v>
      </c>
      <c r="Y35" s="139">
        <f t="shared" si="11"/>
        <v>0.40007331954563541</v>
      </c>
      <c r="Z35" s="139">
        <f t="shared" si="12"/>
        <v>4.7412064460406009</v>
      </c>
      <c r="AA35" s="321">
        <f t="shared" si="13"/>
        <v>43.618610706616707</v>
      </c>
    </row>
    <row r="36" spans="1:27" s="69" customFormat="1" ht="18" x14ac:dyDescent="0.35">
      <c r="A36" s="425" t="s">
        <v>408</v>
      </c>
      <c r="B36" s="139" t="s">
        <v>409</v>
      </c>
      <c r="C36" s="139" t="s">
        <v>646</v>
      </c>
      <c r="D36" s="428">
        <v>30.0825</v>
      </c>
      <c r="E36" s="139">
        <v>8.5828673357121197</v>
      </c>
      <c r="F36" s="139">
        <f t="shared" si="14"/>
        <v>21.49963266428788</v>
      </c>
      <c r="G36" s="140">
        <f>F36*Inflation!$D$4</f>
        <v>21.908125684909347</v>
      </c>
      <c r="H36" s="427">
        <v>4.4800000000000004</v>
      </c>
      <c r="I36" s="326">
        <f>O36*Inflation!$D$4</f>
        <v>30.654067499999996</v>
      </c>
      <c r="J36" s="203">
        <f>P36*Inflation!$D$4</f>
        <v>8.7459418150906494</v>
      </c>
      <c r="K36" s="203">
        <f>Q36*Inflation!$D$4</f>
        <v>3.3664391393324271</v>
      </c>
      <c r="L36" s="203">
        <f>R36*Inflation!$D$4</f>
        <v>21.908125684909347</v>
      </c>
      <c r="M36" s="203">
        <f>S36*Inflation!$D$4</f>
        <v>34.020506639332424</v>
      </c>
      <c r="N36" s="327">
        <f>AA36*Inflation!$D$4</f>
        <v>26.753966140946716</v>
      </c>
      <c r="O36" s="324">
        <f t="shared" si="4"/>
        <v>30.0825</v>
      </c>
      <c r="P36" s="11">
        <f t="shared" si="5"/>
        <v>8.5828673357121197</v>
      </c>
      <c r="Q36" s="11">
        <f>H36*'Labor Adjustment'!$B$10</f>
        <v>3.3036694203458561</v>
      </c>
      <c r="R36" s="11">
        <f t="shared" si="6"/>
        <v>21.49963266428788</v>
      </c>
      <c r="S36" s="325">
        <f t="shared" si="7"/>
        <v>33.386169420345858</v>
      </c>
      <c r="T36" s="320">
        <v>0.05</v>
      </c>
      <c r="U36" s="159">
        <v>12</v>
      </c>
      <c r="V36" s="159">
        <f t="shared" si="8"/>
        <v>4</v>
      </c>
      <c r="W36" s="139">
        <f t="shared" si="9"/>
        <v>3.5459505041623602</v>
      </c>
      <c r="X36" s="139">
        <f t="shared" si="10"/>
        <v>8.8632516364488083</v>
      </c>
      <c r="Y36" s="139">
        <f t="shared" si="11"/>
        <v>0.40007331954563541</v>
      </c>
      <c r="Z36" s="139">
        <f t="shared" si="12"/>
        <v>4.7554862178973227</v>
      </c>
      <c r="AA36" s="321">
        <f t="shared" si="13"/>
        <v>26.255118882185201</v>
      </c>
    </row>
    <row r="37" spans="1:27" s="69" customFormat="1" ht="18" x14ac:dyDescent="0.35">
      <c r="A37" s="425" t="s">
        <v>410</v>
      </c>
      <c r="B37" s="139" t="s">
        <v>411</v>
      </c>
      <c r="C37" s="139" t="s">
        <v>646</v>
      </c>
      <c r="D37" s="428">
        <v>39.534999999999997</v>
      </c>
      <c r="E37" s="139">
        <v>8.6933423357121207</v>
      </c>
      <c r="F37" s="139">
        <f t="shared" si="14"/>
        <v>30.841657664287876</v>
      </c>
      <c r="G37" s="140">
        <f>F37*Inflation!$D$4</f>
        <v>31.427649159909343</v>
      </c>
      <c r="H37" s="427">
        <v>4.4800000000000004</v>
      </c>
      <c r="I37" s="326">
        <f>O37*Inflation!$D$4</f>
        <v>40.28616499999999</v>
      </c>
      <c r="J37" s="203">
        <f>P37*Inflation!$D$4</f>
        <v>8.8585158400906501</v>
      </c>
      <c r="K37" s="203">
        <f>Q37*Inflation!$D$4</f>
        <v>3.3664391393324271</v>
      </c>
      <c r="L37" s="203">
        <f>R37*Inflation!$D$4</f>
        <v>31.427649159909343</v>
      </c>
      <c r="M37" s="203">
        <f>S37*Inflation!$D$4</f>
        <v>43.652604139332418</v>
      </c>
      <c r="N37" s="327">
        <f>AA37*Inflation!$D$4</f>
        <v>36.318527479823075</v>
      </c>
      <c r="O37" s="324">
        <f t="shared" si="4"/>
        <v>39.534999999999997</v>
      </c>
      <c r="P37" s="11">
        <f t="shared" si="5"/>
        <v>8.6933423357121207</v>
      </c>
      <c r="Q37" s="11">
        <f>H37*'Labor Adjustment'!$B$10</f>
        <v>3.3036694203458561</v>
      </c>
      <c r="R37" s="11">
        <f t="shared" si="6"/>
        <v>30.841657664287876</v>
      </c>
      <c r="S37" s="325">
        <f t="shared" si="7"/>
        <v>42.838669420345852</v>
      </c>
      <c r="T37" s="320">
        <v>0.05</v>
      </c>
      <c r="U37" s="159">
        <v>12</v>
      </c>
      <c r="V37" s="159">
        <f t="shared" si="8"/>
        <v>4</v>
      </c>
      <c r="W37" s="139">
        <f t="shared" si="9"/>
        <v>3.5459505041623602</v>
      </c>
      <c r="X37" s="139">
        <f t="shared" si="10"/>
        <v>8.8632516364488083</v>
      </c>
      <c r="Y37" s="139">
        <f t="shared" si="11"/>
        <v>0.40007331954563541</v>
      </c>
      <c r="Z37" s="139">
        <f t="shared" si="12"/>
        <v>4.7996843178741271</v>
      </c>
      <c r="AA37" s="321">
        <f t="shared" si="13"/>
        <v>35.641341982162004</v>
      </c>
    </row>
    <row r="38" spans="1:27" s="69" customFormat="1" ht="18" x14ac:dyDescent="0.35">
      <c r="A38" s="425" t="s">
        <v>412</v>
      </c>
      <c r="B38" s="139" t="s">
        <v>413</v>
      </c>
      <c r="C38" s="139" t="s">
        <v>646</v>
      </c>
      <c r="D38" s="428">
        <v>74.97</v>
      </c>
      <c r="E38" s="139">
        <v>8.7301673357121192</v>
      </c>
      <c r="F38" s="139">
        <f t="shared" si="14"/>
        <v>66.239832664287874</v>
      </c>
      <c r="G38" s="140">
        <f>F38*Inflation!$D$4</f>
        <v>67.498389484909339</v>
      </c>
      <c r="H38" s="427">
        <v>4.4800000000000004</v>
      </c>
      <c r="I38" s="326">
        <f>O38*Inflation!$D$4</f>
        <v>76.394429999999986</v>
      </c>
      <c r="J38" s="203">
        <f>P38*Inflation!$D$4</f>
        <v>8.8960405150906485</v>
      </c>
      <c r="K38" s="203">
        <f>Q38*Inflation!$D$4</f>
        <v>3.3664391393324271</v>
      </c>
      <c r="L38" s="203">
        <f>R38*Inflation!$D$4</f>
        <v>67.498389484909339</v>
      </c>
      <c r="M38" s="203">
        <f>S38*Inflation!$D$4</f>
        <v>79.760869139332414</v>
      </c>
      <c r="N38" s="327">
        <f>AA38*Inflation!$D$4</f>
        <v>72.404280426115193</v>
      </c>
      <c r="O38" s="324">
        <f t="shared" si="4"/>
        <v>74.97</v>
      </c>
      <c r="P38" s="11">
        <f t="shared" si="5"/>
        <v>8.7301673357121192</v>
      </c>
      <c r="Q38" s="11">
        <f>H38*'Labor Adjustment'!$B$10</f>
        <v>3.3036694203458561</v>
      </c>
      <c r="R38" s="11">
        <f t="shared" si="6"/>
        <v>66.239832664287874</v>
      </c>
      <c r="S38" s="325">
        <f t="shared" si="7"/>
        <v>78.273669420345854</v>
      </c>
      <c r="T38" s="320">
        <v>0.05</v>
      </c>
      <c r="U38" s="159">
        <v>12</v>
      </c>
      <c r="V38" s="159">
        <f t="shared" si="8"/>
        <v>4</v>
      </c>
      <c r="W38" s="139">
        <f t="shared" si="9"/>
        <v>3.5459505041623602</v>
      </c>
      <c r="X38" s="139">
        <f t="shared" si="10"/>
        <v>8.8632516364488083</v>
      </c>
      <c r="Y38" s="139">
        <f t="shared" si="11"/>
        <v>0.40007331954563541</v>
      </c>
      <c r="Z38" s="139">
        <f t="shared" si="12"/>
        <v>4.8144170178663952</v>
      </c>
      <c r="AA38" s="321">
        <f t="shared" si="13"/>
        <v>71.054249682154264</v>
      </c>
    </row>
    <row r="39" spans="1:27" s="69" customFormat="1" ht="18" x14ac:dyDescent="0.35">
      <c r="A39" s="425" t="s">
        <v>414</v>
      </c>
      <c r="B39" s="139" t="s">
        <v>415</v>
      </c>
      <c r="C39" s="139" t="s">
        <v>646</v>
      </c>
      <c r="D39" s="428">
        <v>74.930000000000007</v>
      </c>
      <c r="E39" s="139">
        <v>8.7669923357121196</v>
      </c>
      <c r="F39" s="139">
        <f t="shared" si="14"/>
        <v>66.163007664287889</v>
      </c>
      <c r="G39" s="140">
        <f>F39*Inflation!$D$4</f>
        <v>67.420104809909347</v>
      </c>
      <c r="H39" s="427">
        <v>4.4800000000000004</v>
      </c>
      <c r="I39" s="326">
        <f>O39*Inflation!$D$4</f>
        <v>76.353669999999994</v>
      </c>
      <c r="J39" s="203">
        <f>P39*Inflation!$D$4</f>
        <v>8.9335651900906488</v>
      </c>
      <c r="K39" s="203">
        <f>Q39*Inflation!$D$4</f>
        <v>3.3664391393324271</v>
      </c>
      <c r="L39" s="203">
        <f>R39*Inflation!$D$4</f>
        <v>67.420104809909347</v>
      </c>
      <c r="M39" s="203">
        <f>S39*Inflation!$D$4</f>
        <v>79.720109139332422</v>
      </c>
      <c r="N39" s="327">
        <f>AA39*Inflation!$D$4</f>
        <v>72.34100837240733</v>
      </c>
      <c r="O39" s="324">
        <f t="shared" si="4"/>
        <v>74.930000000000007</v>
      </c>
      <c r="P39" s="11">
        <f t="shared" si="5"/>
        <v>8.7669923357121196</v>
      </c>
      <c r="Q39" s="11">
        <f>H39*'Labor Adjustment'!$B$10</f>
        <v>3.3036694203458561</v>
      </c>
      <c r="R39" s="11">
        <f t="shared" si="6"/>
        <v>66.163007664287889</v>
      </c>
      <c r="S39" s="325">
        <f t="shared" si="7"/>
        <v>78.233669420345862</v>
      </c>
      <c r="T39" s="320">
        <v>0.05</v>
      </c>
      <c r="U39" s="159">
        <v>12</v>
      </c>
      <c r="V39" s="159">
        <f t="shared" si="8"/>
        <v>4</v>
      </c>
      <c r="W39" s="139">
        <f t="shared" si="9"/>
        <v>3.5459505041623602</v>
      </c>
      <c r="X39" s="139">
        <f t="shared" si="10"/>
        <v>8.8632516364488083</v>
      </c>
      <c r="Y39" s="139">
        <f t="shared" si="11"/>
        <v>0.40007331954563541</v>
      </c>
      <c r="Z39" s="139">
        <f t="shared" si="12"/>
        <v>4.8291497178586633</v>
      </c>
      <c r="AA39" s="321">
        <f t="shared" si="13"/>
        <v>70.992157382146559</v>
      </c>
    </row>
    <row r="40" spans="1:27" s="69" customFormat="1" ht="18" x14ac:dyDescent="0.35">
      <c r="A40" s="425" t="s">
        <v>416</v>
      </c>
      <c r="B40" s="139" t="s">
        <v>417</v>
      </c>
      <c r="C40" s="139" t="s">
        <v>646</v>
      </c>
      <c r="D40" s="428">
        <v>58.597489291277299</v>
      </c>
      <c r="E40" s="139">
        <v>8.8038173357121199</v>
      </c>
      <c r="F40" s="139">
        <f t="shared" si="14"/>
        <v>49.793671955565181</v>
      </c>
      <c r="G40" s="140">
        <f>F40*Inflation!$D$4</f>
        <v>50.739751722720918</v>
      </c>
      <c r="H40" s="427">
        <v>4.4800000000000004</v>
      </c>
      <c r="I40" s="326">
        <f>O40*Inflation!$D$4</f>
        <v>59.710841587811565</v>
      </c>
      <c r="J40" s="203">
        <f>P40*Inflation!$D$4</f>
        <v>8.971089865090649</v>
      </c>
      <c r="K40" s="203">
        <f>Q40*Inflation!$D$4</f>
        <v>3.3664391393324271</v>
      </c>
      <c r="L40" s="203">
        <f>R40*Inflation!$D$4</f>
        <v>50.739751722720918</v>
      </c>
      <c r="M40" s="203">
        <f>S40*Inflation!$D$4</f>
        <v>63.077280727143986</v>
      </c>
      <c r="N40" s="327">
        <f>AA40*Inflation!$D$4</f>
        <v>55.675667906511009</v>
      </c>
      <c r="O40" s="324">
        <f t="shared" si="4"/>
        <v>58.597489291277299</v>
      </c>
      <c r="P40" s="11">
        <f t="shared" si="5"/>
        <v>8.8038173357121199</v>
      </c>
      <c r="Q40" s="11">
        <f>H40*'Labor Adjustment'!$B$10</f>
        <v>3.3036694203458561</v>
      </c>
      <c r="R40" s="11">
        <f t="shared" si="6"/>
        <v>49.793671955565181</v>
      </c>
      <c r="S40" s="325">
        <f t="shared" si="7"/>
        <v>61.901158711623154</v>
      </c>
      <c r="T40" s="320">
        <v>0.05</v>
      </c>
      <c r="U40" s="159">
        <v>12</v>
      </c>
      <c r="V40" s="159">
        <f t="shared" si="8"/>
        <v>4</v>
      </c>
      <c r="W40" s="139">
        <f t="shared" si="9"/>
        <v>3.5459505041623602</v>
      </c>
      <c r="X40" s="139">
        <f t="shared" si="10"/>
        <v>8.8632516364488083</v>
      </c>
      <c r="Y40" s="139">
        <f t="shared" si="11"/>
        <v>0.40007331954563541</v>
      </c>
      <c r="Z40" s="139">
        <f t="shared" si="12"/>
        <v>4.8438824178509314</v>
      </c>
      <c r="AA40" s="321">
        <f t="shared" si="13"/>
        <v>54.637554373416108</v>
      </c>
    </row>
    <row r="41" spans="1:27" s="69" customFormat="1" ht="18" x14ac:dyDescent="0.35">
      <c r="A41" s="539"/>
      <c r="B41" s="540"/>
      <c r="C41" s="793" t="s">
        <v>1001</v>
      </c>
      <c r="D41" s="793"/>
      <c r="E41" s="793"/>
      <c r="F41" s="793"/>
      <c r="G41" s="793"/>
      <c r="H41" s="794"/>
      <c r="I41" s="547">
        <f>AVERAGE(I24:I40)</f>
        <v>41.36058469367039</v>
      </c>
      <c r="J41" s="547">
        <f t="shared" ref="J41:N41" si="15">AVERAGE(J24:J40)</f>
        <v>8.4874476107147832</v>
      </c>
      <c r="K41" s="547">
        <f t="shared" si="15"/>
        <v>3.3664391393324276</v>
      </c>
      <c r="L41" s="547">
        <f t="shared" si="15"/>
        <v>32.873137082955608</v>
      </c>
      <c r="M41" s="547">
        <f t="shared" si="15"/>
        <v>44.727023833002811</v>
      </c>
      <c r="N41" s="547">
        <f t="shared" si="15"/>
        <v>37.615560904565015</v>
      </c>
      <c r="O41" s="541"/>
      <c r="P41" s="542"/>
      <c r="Q41" s="542"/>
      <c r="R41" s="542"/>
      <c r="S41" s="543"/>
      <c r="T41" s="544"/>
      <c r="U41" s="545"/>
      <c r="V41" s="545"/>
      <c r="W41" s="162"/>
      <c r="X41" s="162"/>
      <c r="Y41" s="162"/>
      <c r="Z41" s="162"/>
      <c r="AA41" s="546"/>
    </row>
    <row r="42" spans="1:27" ht="21.6" thickBot="1" x14ac:dyDescent="0.4">
      <c r="A42" s="790" t="s">
        <v>648</v>
      </c>
      <c r="B42" s="791"/>
      <c r="C42" s="791"/>
      <c r="D42" s="791"/>
      <c r="E42" s="791"/>
      <c r="F42" s="791"/>
      <c r="G42" s="791"/>
      <c r="H42" s="792"/>
      <c r="I42" s="436"/>
      <c r="J42" s="437"/>
      <c r="K42" s="437"/>
      <c r="L42" s="437"/>
      <c r="M42" s="437"/>
      <c r="N42" s="438"/>
      <c r="O42" s="429"/>
      <c r="P42" s="247"/>
      <c r="Q42" s="247"/>
      <c r="R42" s="247"/>
      <c r="S42" s="430"/>
      <c r="T42" s="429"/>
      <c r="U42" s="247"/>
      <c r="V42" s="247"/>
      <c r="W42" s="247"/>
      <c r="X42" s="247"/>
      <c r="Y42" s="247"/>
      <c r="Z42" s="247"/>
      <c r="AA42" s="430"/>
    </row>
    <row r="43" spans="1:27" ht="15" thickBot="1" x14ac:dyDescent="0.35"/>
    <row r="44" spans="1:27" ht="21" x14ac:dyDescent="0.4">
      <c r="A44" s="786" t="s">
        <v>226</v>
      </c>
      <c r="B44" s="787"/>
      <c r="C44" s="787"/>
      <c r="D44" s="787"/>
      <c r="E44" s="787"/>
      <c r="F44" s="787"/>
      <c r="G44" s="787"/>
      <c r="H44" s="431"/>
      <c r="I44" s="740" t="s">
        <v>899</v>
      </c>
      <c r="J44" s="703"/>
      <c r="K44" s="703"/>
      <c r="L44" s="703"/>
      <c r="M44" s="703"/>
      <c r="N44" s="704"/>
      <c r="O44" s="697" t="s">
        <v>941</v>
      </c>
      <c r="P44" s="698"/>
      <c r="Q44" s="698"/>
      <c r="R44" s="698"/>
      <c r="S44" s="699"/>
      <c r="T44" s="700" t="s">
        <v>915</v>
      </c>
      <c r="U44" s="701"/>
      <c r="V44" s="701"/>
      <c r="W44" s="701"/>
      <c r="X44" s="701"/>
      <c r="Y44" s="701"/>
      <c r="Z44" s="701"/>
      <c r="AA44" s="702"/>
    </row>
    <row r="45" spans="1:27" ht="90" x14ac:dyDescent="0.35">
      <c r="A45" s="432" t="s">
        <v>169</v>
      </c>
      <c r="B45" s="433" t="s">
        <v>170</v>
      </c>
      <c r="C45" s="433" t="s">
        <v>29</v>
      </c>
      <c r="D45" s="433" t="s">
        <v>233</v>
      </c>
      <c r="E45" s="433" t="s">
        <v>234</v>
      </c>
      <c r="F45" s="433" t="s">
        <v>173</v>
      </c>
      <c r="G45" s="434" t="s">
        <v>551</v>
      </c>
      <c r="H45" s="391" t="s">
        <v>901</v>
      </c>
      <c r="I45" s="216" t="s">
        <v>919</v>
      </c>
      <c r="J45" s="173" t="s">
        <v>902</v>
      </c>
      <c r="K45" s="173" t="s">
        <v>1034</v>
      </c>
      <c r="L45" s="173" t="s">
        <v>904</v>
      </c>
      <c r="M45" s="173" t="s">
        <v>905</v>
      </c>
      <c r="N45" s="217" t="s">
        <v>906</v>
      </c>
      <c r="O45" s="322" t="s">
        <v>172</v>
      </c>
      <c r="P45" s="144" t="s">
        <v>902</v>
      </c>
      <c r="Q45" s="143" t="s">
        <v>1035</v>
      </c>
      <c r="R45" s="143" t="s">
        <v>904</v>
      </c>
      <c r="S45" s="323" t="s">
        <v>905</v>
      </c>
      <c r="T45" s="318" t="s">
        <v>907</v>
      </c>
      <c r="U45" s="168" t="s">
        <v>910</v>
      </c>
      <c r="V45" s="168" t="s">
        <v>911</v>
      </c>
      <c r="W45" s="172" t="s">
        <v>908</v>
      </c>
      <c r="X45" s="172" t="s">
        <v>909</v>
      </c>
      <c r="Y45" s="172" t="s">
        <v>917</v>
      </c>
      <c r="Z45" s="172" t="s">
        <v>912</v>
      </c>
      <c r="AA45" s="319" t="s">
        <v>906</v>
      </c>
    </row>
    <row r="46" spans="1:27" ht="36.75" customHeight="1" x14ac:dyDescent="0.35">
      <c r="A46" s="435" t="s">
        <v>540</v>
      </c>
      <c r="B46" s="788" t="s">
        <v>544</v>
      </c>
      <c r="C46" s="789"/>
      <c r="D46" s="139">
        <v>35.119999999999997</v>
      </c>
      <c r="E46" s="139">
        <v>8.2799999999999994</v>
      </c>
      <c r="F46" s="139">
        <f>D46-E46</f>
        <v>26.839999999999996</v>
      </c>
      <c r="G46" s="140">
        <f>F46*Inflation!$D$5</f>
        <v>27.869609239999992</v>
      </c>
      <c r="H46" s="427">
        <v>5.75</v>
      </c>
      <c r="I46" s="326">
        <f>O46*Inflation!$D$5</f>
        <v>36.467238319999993</v>
      </c>
      <c r="J46" s="203">
        <f>P46*Inflation!$D$5</f>
        <v>8.597629079999999</v>
      </c>
      <c r="K46" s="203">
        <f>Q46*Inflation!$D$5</f>
        <v>4.4028590462351609</v>
      </c>
      <c r="L46" s="203">
        <f>R46*Inflation!$D$5</f>
        <v>27.869609239999992</v>
      </c>
      <c r="M46" s="203">
        <f>S46*Inflation!$D$5</f>
        <v>40.870097366235157</v>
      </c>
      <c r="N46" s="327">
        <f>AA46*Inflation!$D$5</f>
        <v>32.624919301833081</v>
      </c>
      <c r="O46" s="324">
        <f>D46</f>
        <v>35.119999999999997</v>
      </c>
      <c r="P46" s="11">
        <f>E46</f>
        <v>8.2799999999999994</v>
      </c>
      <c r="Q46" s="11">
        <f>H46*'Labor Adjustment'!$B$10</f>
        <v>4.2402007069171139</v>
      </c>
      <c r="R46" s="11">
        <f>O46-P46</f>
        <v>26.839999999999996</v>
      </c>
      <c r="S46" s="325">
        <f>O46+Q46</f>
        <v>39.360200706917112</v>
      </c>
      <c r="T46" s="320">
        <v>0.05</v>
      </c>
      <c r="U46" s="159">
        <v>5.9</v>
      </c>
      <c r="V46" s="159">
        <f>U46/3</f>
        <v>1.9666666666666668</v>
      </c>
      <c r="W46" s="139">
        <f>((1+T46)^V46-1)/(T46*(1+T46)^V46)</f>
        <v>1.8298836823250242</v>
      </c>
      <c r="X46" s="139">
        <f>((1+T46)^U46-1)/(T46*(1+T46)^U46)</f>
        <v>5.0026981995128965</v>
      </c>
      <c r="Y46" s="139">
        <f>W46/X46</f>
        <v>0.3657793473336442</v>
      </c>
      <c r="Z46" s="139">
        <f>(P46+Q46)*Y46</f>
        <v>4.5796308430623718</v>
      </c>
      <c r="AA46" s="321">
        <f>Z46+R46</f>
        <v>31.419630843062368</v>
      </c>
    </row>
    <row r="47" spans="1:27" ht="27" customHeight="1" x14ac:dyDescent="0.35">
      <c r="A47" s="435" t="s">
        <v>541</v>
      </c>
      <c r="B47" s="788" t="s">
        <v>545</v>
      </c>
      <c r="C47" s="789"/>
      <c r="D47" s="139">
        <v>35.119999999999997</v>
      </c>
      <c r="E47" s="139">
        <v>8.2799999999999994</v>
      </c>
      <c r="F47" s="139">
        <f>D47-E47</f>
        <v>26.839999999999996</v>
      </c>
      <c r="G47" s="140">
        <f>F47*Inflation!$D$5</f>
        <v>27.869609239999992</v>
      </c>
      <c r="H47" s="427">
        <v>5.75</v>
      </c>
      <c r="I47" s="326">
        <f>O47*Inflation!$D$5</f>
        <v>36.467238319999993</v>
      </c>
      <c r="J47" s="203">
        <f>P47*Inflation!$D$5</f>
        <v>8.597629079999999</v>
      </c>
      <c r="K47" s="203">
        <f>Q47*Inflation!$D$5</f>
        <v>4.4028590462351609</v>
      </c>
      <c r="L47" s="203">
        <f>R47*Inflation!$D$5</f>
        <v>27.869609239999992</v>
      </c>
      <c r="M47" s="203">
        <f>S47*Inflation!$D$5</f>
        <v>40.870097366235157</v>
      </c>
      <c r="N47" s="327">
        <f>AA47*Inflation!$D$5</f>
        <v>33.366290330875948</v>
      </c>
      <c r="O47" s="324">
        <f t="shared" ref="O47:O49" si="16">D47</f>
        <v>35.119999999999997</v>
      </c>
      <c r="P47" s="11">
        <f t="shared" ref="P47:P49" si="17">E47</f>
        <v>8.2799999999999994</v>
      </c>
      <c r="Q47" s="11">
        <f>H47*'Labor Adjustment'!$B$10</f>
        <v>4.2402007069171139</v>
      </c>
      <c r="R47" s="11">
        <f t="shared" ref="R47:R49" si="18">O47-P47</f>
        <v>26.839999999999996</v>
      </c>
      <c r="S47" s="325">
        <f t="shared" ref="S47:S49" si="19">O47+Q47</f>
        <v>39.360200706917112</v>
      </c>
      <c r="T47" s="320">
        <v>0.05</v>
      </c>
      <c r="U47" s="159">
        <v>16</v>
      </c>
      <c r="V47" s="159">
        <f t="shared" ref="V47:V49" si="20">U47/3</f>
        <v>5.333333333333333</v>
      </c>
      <c r="W47" s="139">
        <f t="shared" ref="W47:W49" si="21">((1+T47)^V47-1)/(T47*(1+T47)^V47)</f>
        <v>4.5822712524502709</v>
      </c>
      <c r="X47" s="139">
        <f t="shared" ref="X47:X49" si="22">((1+T47)^U47-1)/(T47*(1+T47)^U47)</f>
        <v>10.837769560171996</v>
      </c>
      <c r="Y47" s="139">
        <f t="shared" ref="Y47:Y49" si="23">W47/X47</f>
        <v>0.4228057467921979</v>
      </c>
      <c r="Z47" s="139">
        <f t="shared" ref="Z47:Z49" si="24">(P47+Q47)*Y47</f>
        <v>5.2936128098762936</v>
      </c>
      <c r="AA47" s="321">
        <f t="shared" ref="AA47:AA49" si="25">Z47+R47</f>
        <v>32.13361280987629</v>
      </c>
    </row>
    <row r="48" spans="1:27" ht="33" customHeight="1" x14ac:dyDescent="0.35">
      <c r="A48" s="435" t="s">
        <v>542</v>
      </c>
      <c r="B48" s="788" t="s">
        <v>546</v>
      </c>
      <c r="C48" s="789"/>
      <c r="D48" s="139">
        <v>34.11</v>
      </c>
      <c r="E48" s="139">
        <v>8.4600000000000009</v>
      </c>
      <c r="F48" s="139">
        <f>D48-E48</f>
        <v>25.65</v>
      </c>
      <c r="G48" s="140">
        <f>F48*Inflation!$D$5</f>
        <v>26.633959649999994</v>
      </c>
      <c r="H48" s="427">
        <v>5.75</v>
      </c>
      <c r="I48" s="326">
        <f>O48*Inflation!$D$5</f>
        <v>35.418493709999993</v>
      </c>
      <c r="J48" s="203">
        <f>P48*Inflation!$D$5</f>
        <v>8.7845340600000004</v>
      </c>
      <c r="K48" s="203">
        <f>Q48*Inflation!$D$5</f>
        <v>4.4028590462351609</v>
      </c>
      <c r="L48" s="203">
        <f>R48*Inflation!$D$5</f>
        <v>26.633959649999994</v>
      </c>
      <c r="M48" s="203">
        <f>S48*Inflation!$D$5</f>
        <v>39.821352756235157</v>
      </c>
      <c r="N48" s="327">
        <f>AA48*Inflation!$D$5</f>
        <v>31.457635693430891</v>
      </c>
      <c r="O48" s="324">
        <f t="shared" si="16"/>
        <v>34.11</v>
      </c>
      <c r="P48" s="11">
        <f t="shared" si="17"/>
        <v>8.4600000000000009</v>
      </c>
      <c r="Q48" s="11">
        <f>H48*'Labor Adjustment'!$B$10</f>
        <v>4.2402007069171139</v>
      </c>
      <c r="R48" s="11">
        <f t="shared" si="18"/>
        <v>25.65</v>
      </c>
      <c r="S48" s="325">
        <f t="shared" si="19"/>
        <v>38.350200706917114</v>
      </c>
      <c r="T48" s="320">
        <v>0.05</v>
      </c>
      <c r="U48" s="159">
        <v>5.9</v>
      </c>
      <c r="V48" s="159">
        <f t="shared" si="20"/>
        <v>1.9666666666666668</v>
      </c>
      <c r="W48" s="139">
        <f t="shared" si="21"/>
        <v>1.8298836823250242</v>
      </c>
      <c r="X48" s="139">
        <f t="shared" si="22"/>
        <v>5.0026981995128965</v>
      </c>
      <c r="Y48" s="139">
        <f t="shared" si="23"/>
        <v>0.3657793473336442</v>
      </c>
      <c r="Z48" s="139">
        <f t="shared" si="24"/>
        <v>4.6454711255824295</v>
      </c>
      <c r="AA48" s="321">
        <f>Z48+R48</f>
        <v>30.295471125582427</v>
      </c>
    </row>
    <row r="49" spans="1:27" ht="36.75" customHeight="1" x14ac:dyDescent="0.35">
      <c r="A49" s="435" t="s">
        <v>543</v>
      </c>
      <c r="B49" s="788" t="s">
        <v>547</v>
      </c>
      <c r="C49" s="789"/>
      <c r="D49" s="139">
        <v>34.11</v>
      </c>
      <c r="E49" s="139">
        <v>8.4600000000000009</v>
      </c>
      <c r="F49" s="139">
        <f>D49-E49</f>
        <v>25.65</v>
      </c>
      <c r="G49" s="140">
        <f>F49*Inflation!$D$5</f>
        <v>26.633959649999994</v>
      </c>
      <c r="H49" s="427">
        <v>5.75</v>
      </c>
      <c r="I49" s="326">
        <f>O49*Inflation!$D$5</f>
        <v>35.418493709999993</v>
      </c>
      <c r="J49" s="203">
        <f>P49*Inflation!$D$5</f>
        <v>8.7845340600000004</v>
      </c>
      <c r="K49" s="203">
        <f>Q49*Inflation!$D$5</f>
        <v>4.4028590462351609</v>
      </c>
      <c r="L49" s="203">
        <f>R49*Inflation!$D$5</f>
        <v>26.633959649999994</v>
      </c>
      <c r="M49" s="203">
        <f>S49*Inflation!$D$5</f>
        <v>39.821352756235157</v>
      </c>
      <c r="N49" s="327">
        <f>AA49*Inflation!$D$5</f>
        <v>32.209665240524032</v>
      </c>
      <c r="O49" s="324">
        <f t="shared" si="16"/>
        <v>34.11</v>
      </c>
      <c r="P49" s="11">
        <f t="shared" si="17"/>
        <v>8.4600000000000009</v>
      </c>
      <c r="Q49" s="11">
        <f>H49*'Labor Adjustment'!$B$10</f>
        <v>4.2402007069171139</v>
      </c>
      <c r="R49" s="11">
        <f t="shared" si="18"/>
        <v>25.65</v>
      </c>
      <c r="S49" s="325">
        <f t="shared" si="19"/>
        <v>38.350200706917114</v>
      </c>
      <c r="T49" s="320">
        <v>0.05</v>
      </c>
      <c r="U49" s="159">
        <v>16</v>
      </c>
      <c r="V49" s="159">
        <f t="shared" si="20"/>
        <v>5.333333333333333</v>
      </c>
      <c r="W49" s="139">
        <f t="shared" si="21"/>
        <v>4.5822712524502709</v>
      </c>
      <c r="X49" s="139">
        <f t="shared" si="22"/>
        <v>10.837769560171996</v>
      </c>
      <c r="Y49" s="139">
        <f t="shared" si="23"/>
        <v>0.4228057467921979</v>
      </c>
      <c r="Z49" s="139">
        <f t="shared" si="24"/>
        <v>5.3697178442988909</v>
      </c>
      <c r="AA49" s="321">
        <f t="shared" si="25"/>
        <v>31.019717844298889</v>
      </c>
    </row>
    <row r="50" spans="1:27" ht="18.600000000000001" customHeight="1" thickBot="1" x14ac:dyDescent="0.35">
      <c r="A50" s="783" t="s">
        <v>548</v>
      </c>
      <c r="B50" s="784"/>
      <c r="C50" s="784"/>
      <c r="D50" s="784"/>
      <c r="E50" s="784"/>
      <c r="F50" s="784"/>
      <c r="G50" s="784"/>
      <c r="H50" s="785"/>
      <c r="I50" s="407"/>
      <c r="J50" s="408"/>
      <c r="K50" s="408"/>
      <c r="L50" s="408"/>
      <c r="M50" s="408"/>
      <c r="N50" s="409"/>
      <c r="O50" s="429"/>
      <c r="P50" s="247"/>
      <c r="Q50" s="247"/>
      <c r="R50" s="247"/>
      <c r="S50" s="430"/>
      <c r="T50" s="429"/>
      <c r="U50" s="247"/>
      <c r="V50" s="247"/>
      <c r="W50" s="247"/>
      <c r="X50" s="247"/>
      <c r="Y50" s="247"/>
      <c r="Z50" s="247"/>
      <c r="AA50" s="430"/>
    </row>
    <row r="52" spans="1:27" x14ac:dyDescent="0.3">
      <c r="A52" s="3" t="s">
        <v>28</v>
      </c>
    </row>
  </sheetData>
  <protectedRanges>
    <protectedRange sqref="D8:D41" name="Range4"/>
  </protectedRanges>
  <mergeCells count="27">
    <mergeCell ref="A1:B1"/>
    <mergeCell ref="C1:D1"/>
    <mergeCell ref="E1:H1"/>
    <mergeCell ref="A5:B5"/>
    <mergeCell ref="C5:D5"/>
    <mergeCell ref="E5:H5"/>
    <mergeCell ref="A2:B2"/>
    <mergeCell ref="A3:B3"/>
    <mergeCell ref="A4:B4"/>
    <mergeCell ref="E3:H3"/>
    <mergeCell ref="E4:H4"/>
    <mergeCell ref="E2:H2"/>
    <mergeCell ref="T6:AA6"/>
    <mergeCell ref="I44:N44"/>
    <mergeCell ref="O44:S44"/>
    <mergeCell ref="T44:AA44"/>
    <mergeCell ref="A6:H6"/>
    <mergeCell ref="A42:H42"/>
    <mergeCell ref="C41:H41"/>
    <mergeCell ref="A50:H50"/>
    <mergeCell ref="I6:N6"/>
    <mergeCell ref="O6:S6"/>
    <mergeCell ref="A44:G44"/>
    <mergeCell ref="B46:C46"/>
    <mergeCell ref="B47:C47"/>
    <mergeCell ref="B48:C48"/>
    <mergeCell ref="B49:C49"/>
  </mergeCells>
  <hyperlinks>
    <hyperlink ref="A52" location="TRM_MCS_measures!A1" display="Return To TRM_MCS_Measur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TRM_MCS_measures</vt:lpstr>
      <vt:lpstr>BGE_Rebate_Measure_Costs</vt:lpstr>
      <vt:lpstr>Itron_CA_IOU_LEDYxZLuminaires</vt:lpstr>
      <vt:lpstr>Itron_CA_IOU_RefCaseLED</vt:lpstr>
      <vt:lpstr>Itron_CA_IOU_OutdoorLED</vt:lpstr>
      <vt:lpstr>Itron_CA_IOU_LEDHigh&amp;LowBay</vt:lpstr>
      <vt:lpstr>Itron_CA_IOU_RcssdDwnLght_LED</vt:lpstr>
      <vt:lpstr>Itron_CA_IOU_ScrewBasedLED</vt:lpstr>
      <vt:lpstr>Itron_CA_IOU_LEDFlood</vt:lpstr>
      <vt:lpstr>Labor Adjustment</vt:lpstr>
      <vt:lpstr>Inflation</vt:lpstr>
      <vt:lpstr>MidA_LED_Ext_Luminaire_IMC</vt:lpstr>
      <vt:lpstr>MidA_TRM_Res_SB_LED_IMC</vt:lpstr>
      <vt:lpstr>MidA_OD_Area_Road_LED_IMC</vt:lpstr>
      <vt:lpstr>RTF_Res_Screw_In_Lamps</vt:lpstr>
      <vt:lpstr>NavigantLEDRefrigCase_IMC</vt:lpstr>
      <vt:lpstr>NavigantCommLtgCont_IMC</vt:lpstr>
      <vt:lpstr>Itron_CA_IOU_LEDYxZLuminaires!_ednref1</vt:lpstr>
      <vt:lpstr>Itron_CA_IOU_LEDYxZLuminaires!_Toc324318376</vt:lpstr>
      <vt:lpstr>Itron_CA_IOU_LEDYxZLuminaires!_Toc383697822</vt:lpstr>
      <vt:lpstr>BGE_Rebate_Measure_Costs!_Toc415125978</vt:lpstr>
      <vt:lpstr>BGE_Rebate_Measure_Costs!_Toc415125980</vt:lpstr>
      <vt:lpstr>BGE_Rebate_Measure_Costs!_Toc415125981</vt:lpstr>
      <vt:lpstr>BGE_Rebate_Measure_Costs!_Toc449959906</vt:lpstr>
      <vt:lpstr>Itron_CA_IOU_LEDYxZLuminaires!_Toc452713786</vt:lpstr>
      <vt:lpstr>Itron_CA_IOU_LEDYxZLuminaires!_Toc452713787</vt:lpstr>
      <vt:lpstr>Itron_CA_IOU_LEDYxZLuminaires!_Toc452713788</vt:lpstr>
      <vt:lpstr>Itron_CA_IOU_LEDYxZLuminaires!_Toc452713789</vt:lpstr>
      <vt:lpstr>Itron_CA_IOU_LEDYxZLuminaires!_Toc452713791</vt:lpstr>
      <vt:lpstr>Itron_CA_IOU_LEDYxZLuminaires!_Toc452713799</vt:lpstr>
      <vt:lpstr>Itron_CA_IOU_LEDYxZLuminaires!_Toc452713800</vt:lpstr>
      <vt:lpstr>Itron_CA_IOU_LEDYxZLuminaires!_Toc452713801</vt:lpstr>
      <vt:lpstr>Itron_CA_IOU_LEDYxZLuminaires!_Toc452713802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Barquest, Ethan</dc:creator>
  <cp:lastModifiedBy>Loper, Joe</cp:lastModifiedBy>
  <dcterms:created xsi:type="dcterms:W3CDTF">2017-01-06T00:28:49Z</dcterms:created>
  <dcterms:modified xsi:type="dcterms:W3CDTF">2017-05-10T18:59:14Z</dcterms:modified>
</cp:coreProperties>
</file>